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8_{DA37A07C-CC7B-4194-ACE8-D70852EB3631}" xr6:coauthVersionLast="36" xr6:coauthVersionMax="36" xr10:uidLastSave="{00000000-0000-0000-0000-000000000000}"/>
  <bookViews>
    <workbookView xWindow="240" yWindow="105" windowWidth="14805" windowHeight="8010" firstSheet="2" activeTab="5" xr2:uid="{00000000-000D-0000-FFFF-FFFF00000000}"/>
  </bookViews>
  <sheets>
    <sheet name="ВЛ " sheetId="5" state="hidden" r:id="rId1"/>
    <sheet name="КЛ" sheetId="2" state="hidden" r:id="rId2"/>
    <sheet name="ПС" sheetId="4" r:id="rId3"/>
    <sheet name="Информация о подписи" sheetId="6" state="hidden" r:id="rId4"/>
    <sheet name="Лист1" sheetId="7" state="hidden" r:id="rId5"/>
    <sheet name="Лист2" sheetId="8" r:id="rId6"/>
  </sheets>
  <definedNames>
    <definedName name="_xlnm.Print_Area" localSheetId="0">'ВЛ '!$A$1:$L$13</definedName>
    <definedName name="_xlnm.Print_Area" localSheetId="2">ПС!$A$1:$BA$254</definedName>
  </definedNames>
  <calcPr calcId="191029"/>
</workbook>
</file>

<file path=xl/calcChain.xml><?xml version="1.0" encoding="utf-8"?>
<calcChain xmlns="http://schemas.openxmlformats.org/spreadsheetml/2006/main">
  <c r="I226" i="4" l="1"/>
  <c r="L226" i="4" s="1"/>
  <c r="I227" i="4"/>
  <c r="L227" i="4" s="1"/>
  <c r="I219" i="4"/>
  <c r="L219" i="4" s="1"/>
  <c r="I186" i="4" l="1"/>
  <c r="L186" i="4" s="1"/>
  <c r="I185" i="4"/>
  <c r="L185" i="4" s="1"/>
  <c r="AD185" i="4" s="1"/>
  <c r="AQ185" i="4" l="1"/>
  <c r="AF185" i="4" s="1"/>
  <c r="AE185" i="4"/>
  <c r="BA185" i="4"/>
  <c r="R250" i="4" l="1"/>
  <c r="S250" i="4"/>
  <c r="T250" i="4"/>
  <c r="U250" i="4"/>
  <c r="V250" i="4"/>
  <c r="W250" i="4"/>
  <c r="AG250" i="4"/>
  <c r="AH250" i="4"/>
  <c r="AI250" i="4"/>
  <c r="AJ250" i="4"/>
  <c r="AK250" i="4"/>
  <c r="AL250" i="4"/>
  <c r="AU250" i="4"/>
  <c r="AV250" i="4"/>
  <c r="AW250" i="4"/>
  <c r="BC250" i="4"/>
  <c r="L249" i="4"/>
  <c r="L248" i="4"/>
  <c r="L247" i="4"/>
  <c r="L246" i="4"/>
  <c r="L245" i="4"/>
  <c r="L244" i="4"/>
  <c r="L243" i="4"/>
  <c r="AF242" i="4"/>
  <c r="AE242" i="4"/>
  <c r="L242" i="4"/>
  <c r="AD91" i="4" l="1"/>
  <c r="AB105" i="4" l="1"/>
  <c r="P139" i="4"/>
  <c r="Q139" i="4" s="1"/>
  <c r="Z139" i="4" s="1"/>
  <c r="P94" i="4"/>
  <c r="Q94" i="4" s="1"/>
  <c r="I236" i="4" l="1"/>
  <c r="L236" i="4" s="1"/>
  <c r="I238" i="4"/>
  <c r="L238" i="4" s="1"/>
  <c r="I234" i="4" l="1"/>
  <c r="L234" i="4" s="1"/>
  <c r="I233" i="4"/>
  <c r="L233" i="4" s="1"/>
  <c r="I232" i="4"/>
  <c r="L232" i="4" s="1"/>
  <c r="I231" i="4"/>
  <c r="L231" i="4" s="1"/>
  <c r="BA230" i="4"/>
  <c r="I230" i="4"/>
  <c r="L230" i="4" s="1"/>
  <c r="AD230" i="4" s="1"/>
  <c r="AE230" i="4" s="1"/>
  <c r="I240" i="4"/>
  <c r="L240" i="4" s="1"/>
  <c r="I241" i="4" l="1"/>
  <c r="L241" i="4" s="1"/>
  <c r="I239" i="4"/>
  <c r="L239" i="4" s="1"/>
  <c r="I237" i="4"/>
  <c r="L237" i="4" s="1"/>
  <c r="I235" i="4"/>
  <c r="L235" i="4" s="1"/>
  <c r="AD235" i="4" l="1"/>
  <c r="AQ230" i="4"/>
  <c r="AF230" i="4" s="1"/>
  <c r="AQ235" i="4" l="1"/>
  <c r="AE235" i="4"/>
  <c r="BA235" i="4"/>
  <c r="I211" i="4" l="1"/>
  <c r="L211" i="4" s="1"/>
  <c r="I212" i="4"/>
  <c r="L212" i="4" s="1"/>
  <c r="I214" i="4"/>
  <c r="L214" i="4" s="1"/>
  <c r="I213" i="4"/>
  <c r="L213" i="4" s="1"/>
  <c r="I210" i="4"/>
  <c r="L210" i="4" s="1"/>
  <c r="I209" i="4"/>
  <c r="L209" i="4" s="1"/>
  <c r="BA208" i="4"/>
  <c r="I208" i="4"/>
  <c r="L208" i="4" s="1"/>
  <c r="I215" i="4"/>
  <c r="L215" i="4" s="1"/>
  <c r="BA215" i="4"/>
  <c r="I216" i="4"/>
  <c r="L216" i="4" s="1"/>
  <c r="I217" i="4"/>
  <c r="L217" i="4" s="1"/>
  <c r="I218" i="4"/>
  <c r="L218" i="4" s="1"/>
  <c r="I220" i="4"/>
  <c r="L220" i="4" s="1"/>
  <c r="I221" i="4"/>
  <c r="L221" i="4" s="1"/>
  <c r="I207" i="4"/>
  <c r="L207" i="4" s="1"/>
  <c r="I206" i="4"/>
  <c r="L206" i="4" s="1"/>
  <c r="I205" i="4"/>
  <c r="L205" i="4" s="1"/>
  <c r="I204" i="4"/>
  <c r="L204" i="4" s="1"/>
  <c r="I203" i="4"/>
  <c r="L203" i="4" s="1"/>
  <c r="BA202" i="4"/>
  <c r="I202" i="4"/>
  <c r="L202" i="4" s="1"/>
  <c r="I225" i="4"/>
  <c r="L225" i="4" s="1"/>
  <c r="I224" i="4"/>
  <c r="L224" i="4" s="1"/>
  <c r="I222" i="4"/>
  <c r="L222" i="4" s="1"/>
  <c r="AD195" i="4"/>
  <c r="AQ195" i="4" l="1"/>
  <c r="AE195" i="4"/>
  <c r="AF235" i="4"/>
  <c r="AD208" i="4"/>
  <c r="AD215" i="4"/>
  <c r="AD202" i="4"/>
  <c r="AE202" i="4" s="1"/>
  <c r="AE215" i="4" l="1"/>
  <c r="AQ215" i="4"/>
  <c r="AF215" i="4" s="1"/>
  <c r="AQ208" i="4"/>
  <c r="AF208" i="4" s="1"/>
  <c r="AE208" i="4"/>
  <c r="AQ202" i="4"/>
  <c r="AF202" i="4" s="1"/>
  <c r="I229" i="4" l="1"/>
  <c r="L229" i="4" s="1"/>
  <c r="I228" i="4"/>
  <c r="L228" i="4" s="1"/>
  <c r="I223" i="4"/>
  <c r="L223" i="4" s="1"/>
  <c r="BA222" i="4"/>
  <c r="AD222" i="4" l="1"/>
  <c r="AQ222" i="4" s="1"/>
  <c r="I201" i="4"/>
  <c r="L201" i="4" s="1"/>
  <c r="I199" i="4"/>
  <c r="L199" i="4" s="1"/>
  <c r="I198" i="4"/>
  <c r="L198" i="4" s="1"/>
  <c r="I197" i="4"/>
  <c r="L197" i="4" s="1"/>
  <c r="BA196" i="4"/>
  <c r="I196" i="4"/>
  <c r="L196" i="4" s="1"/>
  <c r="BA198" i="4"/>
  <c r="I195" i="4"/>
  <c r="BA195" i="4"/>
  <c r="I194" i="4"/>
  <c r="L194" i="4" s="1"/>
  <c r="I193" i="4"/>
  <c r="L193" i="4" s="1"/>
  <c r="BA192" i="4"/>
  <c r="I192" i="4"/>
  <c r="L192" i="4" s="1"/>
  <c r="BA191" i="4"/>
  <c r="I191" i="4"/>
  <c r="L191" i="4" s="1"/>
  <c r="AD191" i="4" s="1"/>
  <c r="I190" i="4"/>
  <c r="L190" i="4" s="1"/>
  <c r="I189" i="4"/>
  <c r="L189" i="4" s="1"/>
  <c r="BA188" i="4"/>
  <c r="I188" i="4"/>
  <c r="L188" i="4" s="1"/>
  <c r="BA187" i="4"/>
  <c r="I187" i="4"/>
  <c r="L187" i="4" s="1"/>
  <c r="AD187" i="4" s="1"/>
  <c r="BA186" i="4"/>
  <c r="I184" i="4"/>
  <c r="L184" i="4" s="1"/>
  <c r="I183" i="4"/>
  <c r="L183" i="4" s="1"/>
  <c r="I182" i="4"/>
  <c r="L182" i="4" s="1"/>
  <c r="I181" i="4"/>
  <c r="L181" i="4" s="1"/>
  <c r="I180" i="4"/>
  <c r="L180" i="4" s="1"/>
  <c r="BA179" i="4"/>
  <c r="I179" i="4"/>
  <c r="L179" i="4" s="1"/>
  <c r="AD196" i="4" l="1"/>
  <c r="AE196" i="4" s="1"/>
  <c r="AD188" i="4"/>
  <c r="AQ188" i="4" s="1"/>
  <c r="AF188" i="4" s="1"/>
  <c r="AD192" i="4"/>
  <c r="AQ192" i="4" s="1"/>
  <c r="AQ191" i="4"/>
  <c r="AE191" i="4"/>
  <c r="AE222" i="4"/>
  <c r="AE187" i="4"/>
  <c r="AQ187" i="4"/>
  <c r="AF187" i="4" s="1"/>
  <c r="AD198" i="4"/>
  <c r="AQ198" i="4" s="1"/>
  <c r="AE188" i="4"/>
  <c r="AF195" i="4"/>
  <c r="AD179" i="4"/>
  <c r="M179" i="4"/>
  <c r="AQ196" i="4" l="1"/>
  <c r="AF196" i="4" s="1"/>
  <c r="AE192" i="4"/>
  <c r="N179" i="4"/>
  <c r="O179" i="4" s="1"/>
  <c r="AP179" i="4"/>
  <c r="AF179" i="4" s="1"/>
  <c r="AE179" i="4"/>
  <c r="AA145" i="4"/>
  <c r="Q145" i="4" s="1"/>
  <c r="AF222" i="4" l="1"/>
  <c r="AF192" i="4"/>
  <c r="P179" i="4"/>
  <c r="AA179" i="4"/>
  <c r="Q179" i="4" s="1"/>
  <c r="AF198" i="4" l="1"/>
  <c r="AE198" i="4"/>
  <c r="AF191" i="4"/>
  <c r="Y60" i="4"/>
  <c r="P60" i="4"/>
  <c r="X50" i="4"/>
  <c r="I91" i="4" l="1"/>
  <c r="L91" i="4" s="1"/>
  <c r="M91" i="4" s="1"/>
  <c r="I90" i="4"/>
  <c r="L90" i="4" s="1"/>
  <c r="I80" i="4"/>
  <c r="L80" i="4" s="1"/>
  <c r="AE80" i="4" l="1"/>
  <c r="AA80" i="4"/>
  <c r="AD80" i="4"/>
  <c r="AP80" i="4"/>
  <c r="M80" i="4"/>
  <c r="Z80" i="4"/>
  <c r="Q80" i="4" s="1"/>
  <c r="AO80" i="4"/>
  <c r="N91" i="4"/>
  <c r="O91" i="4" s="1"/>
  <c r="P91" i="4" s="1"/>
  <c r="AF80" i="4" l="1"/>
  <c r="AB91" i="4"/>
  <c r="N80" i="4"/>
  <c r="O80" i="4" s="1"/>
  <c r="P80" i="4" s="1"/>
  <c r="AE91" i="4" l="1"/>
  <c r="AP91" i="4" s="1"/>
  <c r="AF91" i="4" s="1"/>
  <c r="I178" i="4" l="1"/>
  <c r="L178" i="4" s="1"/>
  <c r="I177" i="4"/>
  <c r="I176" i="4"/>
  <c r="L176" i="4" s="1"/>
  <c r="I175" i="4"/>
  <c r="L175" i="4" s="1"/>
  <c r="I174" i="4"/>
  <c r="L174" i="4" s="1"/>
  <c r="I173" i="4"/>
  <c r="L173" i="4" s="1"/>
  <c r="I167" i="4"/>
  <c r="L167" i="4" s="1"/>
  <c r="BA167" i="4"/>
  <c r="M173" i="4" l="1"/>
  <c r="N173" i="4" s="1"/>
  <c r="O173" i="4" s="1"/>
  <c r="AD173" i="4"/>
  <c r="AE173" i="4" s="1"/>
  <c r="I170" i="4"/>
  <c r="L170" i="4" s="1"/>
  <c r="AA173" i="4" l="1"/>
  <c r="Q173" i="4" s="1"/>
  <c r="P173" i="4"/>
  <c r="AP173" i="4"/>
  <c r="AF173" i="4" s="1"/>
  <c r="I168" i="4" l="1"/>
  <c r="L168" i="4" s="1"/>
  <c r="BA173" i="4" l="1"/>
  <c r="I172" i="4"/>
  <c r="L172" i="4" s="1"/>
  <c r="I171" i="4"/>
  <c r="I169" i="4"/>
  <c r="L169" i="4" s="1"/>
  <c r="I166" i="4"/>
  <c r="L166" i="4" s="1"/>
  <c r="I165" i="4"/>
  <c r="L165" i="4" s="1"/>
  <c r="I164" i="4"/>
  <c r="L164" i="4" s="1"/>
  <c r="I163" i="4"/>
  <c r="L163" i="4" s="1"/>
  <c r="I162" i="4"/>
  <c r="L162" i="4" s="1"/>
  <c r="BA161" i="4"/>
  <c r="I161" i="4"/>
  <c r="L161" i="4" s="1"/>
  <c r="M167" i="4" l="1"/>
  <c r="N167" i="4" s="1"/>
  <c r="O167" i="4" s="1"/>
  <c r="AA167" i="4" s="1"/>
  <c r="Q167" i="4" s="1"/>
  <c r="M161" i="4"/>
  <c r="N161" i="4" s="1"/>
  <c r="O161" i="4" s="1"/>
  <c r="AD167" i="4"/>
  <c r="AE167" i="4" s="1"/>
  <c r="AD161" i="4"/>
  <c r="AE161" i="4" s="1"/>
  <c r="P167" i="4" l="1"/>
  <c r="AP167" i="4"/>
  <c r="AF167" i="4" s="1"/>
  <c r="P161" i="4"/>
  <c r="AA161" i="4"/>
  <c r="Q161" i="4" s="1"/>
  <c r="AP161" i="4"/>
  <c r="AF161" i="4" s="1"/>
  <c r="M65" i="4"/>
  <c r="P145" i="4" l="1"/>
  <c r="I127" i="4"/>
  <c r="L127" i="4" s="1"/>
  <c r="I128" i="4"/>
  <c r="L128" i="4" s="1"/>
  <c r="I129" i="4"/>
  <c r="L129" i="4" s="1"/>
  <c r="I130" i="4"/>
  <c r="L130" i="4" s="1"/>
  <c r="I131" i="4"/>
  <c r="L131" i="4" s="1"/>
  <c r="I132" i="4"/>
  <c r="L132" i="4" s="1"/>
  <c r="P59" i="4"/>
  <c r="Q59" i="4" s="1"/>
  <c r="P58" i="4"/>
  <c r="Q58" i="4" s="1"/>
  <c r="M127" i="4" l="1"/>
  <c r="N127" i="4" s="1"/>
  <c r="AD127" i="4"/>
  <c r="AS127" i="4"/>
  <c r="AE127" i="4" l="1"/>
  <c r="AN127" i="4"/>
  <c r="AF127" i="4"/>
  <c r="I160" i="4"/>
  <c r="L160" i="4" s="1"/>
  <c r="N145" i="4"/>
  <c r="M160" i="4" l="1"/>
  <c r="N160" i="4" s="1"/>
  <c r="AD160" i="4"/>
  <c r="AE160" i="4" s="1"/>
  <c r="O160" i="4" l="1"/>
  <c r="AA160" i="4" s="1"/>
  <c r="AA250" i="4" s="1"/>
  <c r="AP160" i="4"/>
  <c r="AF160" i="4" s="1"/>
  <c r="AT69" i="4"/>
  <c r="BA59" i="4"/>
  <c r="BA58" i="4"/>
  <c r="P160" i="4" l="1"/>
  <c r="I106" i="4"/>
  <c r="L106" i="4" s="1"/>
  <c r="AM50" i="4" l="1"/>
  <c r="AD65" i="4"/>
  <c r="AE65" i="4" l="1"/>
  <c r="AN65" i="4"/>
  <c r="AF65" i="4" s="1"/>
  <c r="N65" i="4" l="1"/>
  <c r="O65" i="4" s="1"/>
  <c r="P65" i="4" l="1"/>
  <c r="Y65" i="4"/>
  <c r="Q65" i="4" s="1"/>
  <c r="I159" i="4"/>
  <c r="L159" i="4" s="1"/>
  <c r="I158" i="4" l="1"/>
  <c r="L158" i="4" s="1"/>
  <c r="I157" i="4"/>
  <c r="L157" i="4" s="1"/>
  <c r="I156" i="4"/>
  <c r="L156" i="4" s="1"/>
  <c r="I155" i="4"/>
  <c r="L155" i="4" s="1"/>
  <c r="I154" i="4"/>
  <c r="L154" i="4" s="1"/>
  <c r="I153" i="4"/>
  <c r="L153" i="4" s="1"/>
  <c r="I152" i="4"/>
  <c r="L152" i="4" s="1"/>
  <c r="I151" i="4"/>
  <c r="L151" i="4" s="1"/>
  <c r="I150" i="4"/>
  <c r="L150" i="4" s="1"/>
  <c r="I149" i="4"/>
  <c r="L149" i="4" s="1"/>
  <c r="I148" i="4"/>
  <c r="L148" i="4" s="1"/>
  <c r="I147" i="4"/>
  <c r="L147" i="4" s="1"/>
  <c r="I146" i="4"/>
  <c r="L146" i="4" s="1"/>
  <c r="I145" i="4"/>
  <c r="L145" i="4" s="1"/>
  <c r="I144" i="4"/>
  <c r="L144" i="4" s="1"/>
  <c r="I143" i="4"/>
  <c r="L143" i="4" s="1"/>
  <c r="I142" i="4"/>
  <c r="L142" i="4" s="1"/>
  <c r="I141" i="4"/>
  <c r="L141" i="4" s="1"/>
  <c r="I140" i="4"/>
  <c r="L140" i="4" s="1"/>
  <c r="I139" i="4"/>
  <c r="L139" i="4" s="1"/>
  <c r="I138" i="4"/>
  <c r="L138" i="4" s="1"/>
  <c r="I137" i="4"/>
  <c r="L137" i="4" s="1"/>
  <c r="I136" i="4"/>
  <c r="L136" i="4" s="1"/>
  <c r="I135" i="4"/>
  <c r="L135" i="4" s="1"/>
  <c r="I134" i="4"/>
  <c r="L134" i="4" s="1"/>
  <c r="I133" i="4"/>
  <c r="L133" i="4" s="1"/>
  <c r="I79" i="4"/>
  <c r="L79" i="4" s="1"/>
  <c r="M157" i="4" l="1"/>
  <c r="N157" i="4" s="1"/>
  <c r="O157" i="4" s="1"/>
  <c r="M133" i="4"/>
  <c r="N133" i="4" s="1"/>
  <c r="AD139" i="4"/>
  <c r="AE139" i="4" s="1"/>
  <c r="AM78" i="4"/>
  <c r="X78" i="4"/>
  <c r="M151" i="4"/>
  <c r="AD157" i="4"/>
  <c r="AO157" i="4" s="1"/>
  <c r="AF157" i="4" s="1"/>
  <c r="AD133" i="4"/>
  <c r="AE133" i="4" s="1"/>
  <c r="AD145" i="4"/>
  <c r="AD151" i="4"/>
  <c r="AE151" i="4" s="1"/>
  <c r="AE145" i="4" l="1"/>
  <c r="AP145" i="4"/>
  <c r="AP250" i="4" s="1"/>
  <c r="Z157" i="4"/>
  <c r="Q157" i="4" s="1"/>
  <c r="P157" i="4"/>
  <c r="N151" i="4"/>
  <c r="O151" i="4" s="1"/>
  <c r="AE157" i="4"/>
  <c r="AO151" i="4"/>
  <c r="AF151" i="4" s="1"/>
  <c r="AO139" i="4"/>
  <c r="AF139" i="4" s="1"/>
  <c r="AN133" i="4"/>
  <c r="AF133" i="4" s="1"/>
  <c r="I37" i="4"/>
  <c r="L37" i="4" s="1"/>
  <c r="I36" i="4"/>
  <c r="L36" i="4" s="1"/>
  <c r="I35" i="4"/>
  <c r="L35" i="4" s="1"/>
  <c r="I34" i="4"/>
  <c r="L34" i="4" s="1"/>
  <c r="I33" i="4"/>
  <c r="L33" i="4" s="1"/>
  <c r="I32" i="4"/>
  <c r="L32" i="4" s="1"/>
  <c r="I31" i="4"/>
  <c r="L31" i="4" s="1"/>
  <c r="I30" i="4"/>
  <c r="L30" i="4" s="1"/>
  <c r="I29" i="4"/>
  <c r="L29" i="4" s="1"/>
  <c r="I28" i="4"/>
  <c r="L28" i="4" s="1"/>
  <c r="I27" i="4"/>
  <c r="L27" i="4" s="1"/>
  <c r="AF145" i="4" l="1"/>
  <c r="Z151" i="4"/>
  <c r="Q151" i="4" s="1"/>
  <c r="P151" i="4"/>
  <c r="M27" i="4"/>
  <c r="N27" i="4" s="1"/>
  <c r="I56" i="4"/>
  <c r="L56" i="4" s="1"/>
  <c r="Z50" i="4" s="1"/>
  <c r="Y50" i="4" l="1"/>
  <c r="AO50" i="4"/>
  <c r="AN50" i="4"/>
  <c r="M50" i="4"/>
  <c r="I126" i="4"/>
  <c r="L126" i="4" s="1"/>
  <c r="I125" i="4"/>
  <c r="L125" i="4" s="1"/>
  <c r="I124" i="4"/>
  <c r="L124" i="4" s="1"/>
  <c r="I123" i="4"/>
  <c r="L123" i="4" s="1"/>
  <c r="I122" i="4"/>
  <c r="L122" i="4" s="1"/>
  <c r="AF50" i="4" l="1"/>
  <c r="AE50" i="4"/>
  <c r="Q50" i="4"/>
  <c r="M122" i="4"/>
  <c r="L121" i="4"/>
  <c r="I121" i="4"/>
  <c r="I120" i="4"/>
  <c r="L120" i="4" s="1"/>
  <c r="I119" i="4"/>
  <c r="L119" i="4" s="1"/>
  <c r="I118" i="4"/>
  <c r="L118" i="4" s="1"/>
  <c r="I117" i="4"/>
  <c r="L117" i="4" s="1"/>
  <c r="N122" i="4" l="1"/>
  <c r="O122" i="4" s="1"/>
  <c r="M117" i="4"/>
  <c r="N117" i="4" l="1"/>
  <c r="O117" i="4" s="1"/>
  <c r="AB122" i="4"/>
  <c r="Q122" i="4" s="1"/>
  <c r="P122" i="4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AR8" i="4" s="1"/>
  <c r="AS8" i="4" s="1"/>
  <c r="AT8" i="4" s="1"/>
  <c r="AU8" i="4" s="1"/>
  <c r="AV8" i="4" s="1"/>
  <c r="BA8" i="4" s="1"/>
  <c r="P117" i="4" l="1"/>
  <c r="AC117" i="4"/>
  <c r="Q117" i="4" s="1"/>
  <c r="AD117" i="4"/>
  <c r="I116" i="4"/>
  <c r="L116" i="4" s="1"/>
  <c r="I115" i="4"/>
  <c r="L115" i="4" s="1"/>
  <c r="M115" i="4" s="1"/>
  <c r="N115" i="4" s="1"/>
  <c r="I114" i="4"/>
  <c r="L114" i="4" s="1"/>
  <c r="I113" i="4"/>
  <c r="L113" i="4" s="1"/>
  <c r="I112" i="4"/>
  <c r="L112" i="4" s="1"/>
  <c r="M112" i="4" s="1"/>
  <c r="AR117" i="4" l="1"/>
  <c r="AF117" i="4" s="1"/>
  <c r="AE117" i="4"/>
  <c r="M113" i="4"/>
  <c r="N113" i="4" s="1"/>
  <c r="N112" i="4"/>
  <c r="O112" i="4" s="1"/>
  <c r="O115" i="4"/>
  <c r="AC115" i="4" l="1"/>
  <c r="P115" i="4"/>
  <c r="P112" i="4"/>
  <c r="AC112" i="4"/>
  <c r="AD115" i="4"/>
  <c r="AE115" i="4" s="1"/>
  <c r="AD112" i="4"/>
  <c r="O113" i="4"/>
  <c r="AE112" i="4" l="1"/>
  <c r="AR112" i="4"/>
  <c r="AF112" i="4" s="1"/>
  <c r="P113" i="4"/>
  <c r="AC113" i="4"/>
  <c r="AD113" i="4"/>
  <c r="AR115" i="4"/>
  <c r="AF115" i="4" s="1"/>
  <c r="I111" i="4"/>
  <c r="L111" i="4" s="1"/>
  <c r="I110" i="4"/>
  <c r="L110" i="4" s="1"/>
  <c r="I109" i="4"/>
  <c r="L109" i="4" s="1"/>
  <c r="I108" i="4"/>
  <c r="L108" i="4" s="1"/>
  <c r="I107" i="4"/>
  <c r="L107" i="4" s="1"/>
  <c r="I105" i="4"/>
  <c r="L105" i="4" s="1"/>
  <c r="M105" i="4" s="1"/>
  <c r="I104" i="4"/>
  <c r="L104" i="4" s="1"/>
  <c r="I103" i="4"/>
  <c r="L103" i="4" s="1"/>
  <c r="I102" i="4"/>
  <c r="L102" i="4" s="1"/>
  <c r="I101" i="4"/>
  <c r="L101" i="4" s="1"/>
  <c r="I100" i="4"/>
  <c r="L100" i="4" s="1"/>
  <c r="I99" i="4"/>
  <c r="L99" i="4" s="1"/>
  <c r="I98" i="4"/>
  <c r="L98" i="4" s="1"/>
  <c r="I97" i="4"/>
  <c r="L97" i="4" s="1"/>
  <c r="I96" i="4"/>
  <c r="L96" i="4" s="1"/>
  <c r="I95" i="4"/>
  <c r="L95" i="4" s="1"/>
  <c r="M95" i="4" s="1"/>
  <c r="I94" i="4"/>
  <c r="L94" i="4" s="1"/>
  <c r="M94" i="4" s="1"/>
  <c r="I93" i="4"/>
  <c r="L93" i="4" s="1"/>
  <c r="M93" i="4" s="1"/>
  <c r="N93" i="4" s="1"/>
  <c r="AR113" i="4" l="1"/>
  <c r="AF113" i="4" s="1"/>
  <c r="AE113" i="4"/>
  <c r="M99" i="4"/>
  <c r="N105" i="4"/>
  <c r="O105" i="4" s="1"/>
  <c r="AD111" i="4"/>
  <c r="M111" i="4"/>
  <c r="M96" i="4"/>
  <c r="N95" i="4"/>
  <c r="N94" i="4"/>
  <c r="AD105" i="4" l="1"/>
  <c r="AR111" i="4"/>
  <c r="AR250" i="4" s="1"/>
  <c r="AE111" i="4"/>
  <c r="N111" i="4"/>
  <c r="O111" i="4" s="1"/>
  <c r="N99" i="4"/>
  <c r="O99" i="4" s="1"/>
  <c r="N96" i="4"/>
  <c r="AB99" i="4" l="1"/>
  <c r="AB250" i="4" s="1"/>
  <c r="P99" i="4"/>
  <c r="P111" i="4"/>
  <c r="AC111" i="4"/>
  <c r="AC250" i="4" s="1"/>
  <c r="AQ105" i="4"/>
  <c r="AF105" i="4" s="1"/>
  <c r="AE105" i="4"/>
  <c r="AF111" i="4"/>
  <c r="AD99" i="4"/>
  <c r="Q111" i="4" l="1"/>
  <c r="AQ99" i="4"/>
  <c r="AF99" i="4" s="1"/>
  <c r="AE99" i="4"/>
  <c r="I78" i="4"/>
  <c r="L78" i="4" s="1"/>
  <c r="I77" i="4"/>
  <c r="M78" i="4" l="1"/>
  <c r="AE78" i="4"/>
  <c r="Z78" i="4"/>
  <c r="AO78" i="4"/>
  <c r="AF78" i="4" s="1"/>
  <c r="AD78" i="4" l="1"/>
  <c r="P78" i="4"/>
  <c r="Q78" i="4" s="1"/>
  <c r="N78" i="4"/>
  <c r="O78" i="4" s="1"/>
  <c r="BA78" i="4" s="1"/>
  <c r="I49" i="4" l="1"/>
  <c r="L49" i="4" s="1"/>
  <c r="I48" i="4"/>
  <c r="L48" i="4" s="1"/>
  <c r="I47" i="4"/>
  <c r="L47" i="4" s="1"/>
  <c r="I46" i="4"/>
  <c r="L46" i="4" s="1"/>
  <c r="I45" i="4"/>
  <c r="L45" i="4" s="1"/>
  <c r="I44" i="4"/>
  <c r="L44" i="4" s="1"/>
  <c r="I42" i="4"/>
  <c r="L42" i="4" s="1"/>
  <c r="I43" i="4"/>
  <c r="L43" i="4" s="1"/>
  <c r="AQ45" i="4" l="1"/>
  <c r="AQ250" i="4" s="1"/>
  <c r="AO45" i="4"/>
  <c r="AD45" i="4"/>
  <c r="AE45" i="4" s="1"/>
  <c r="Y42" i="4"/>
  <c r="P42" i="4"/>
  <c r="AM42" i="4"/>
  <c r="X42" i="4"/>
  <c r="AN42" i="4"/>
  <c r="AZ45" i="4"/>
  <c r="AN44" i="4"/>
  <c r="AF44" i="4" s="1"/>
  <c r="AD44" i="4"/>
  <c r="AE44" i="4" s="1"/>
  <c r="M42" i="4"/>
  <c r="AD42" i="4"/>
  <c r="AZ42" i="4" s="1"/>
  <c r="M44" i="4"/>
  <c r="AF45" i="4" l="1"/>
  <c r="AE42" i="4"/>
  <c r="Q42" i="4"/>
  <c r="AF42" i="4"/>
  <c r="O44" i="4"/>
  <c r="P44" i="4" s="1"/>
  <c r="N44" i="4"/>
  <c r="O42" i="4"/>
  <c r="BA42" i="4" s="1"/>
  <c r="N42" i="4"/>
  <c r="AZ44" i="4"/>
  <c r="BB10" i="4"/>
  <c r="BB11" i="4"/>
  <c r="BB12" i="4"/>
  <c r="BB13" i="4"/>
  <c r="BB14" i="4"/>
  <c r="BB16" i="4"/>
  <c r="BB17" i="4"/>
  <c r="BB18" i="4"/>
  <c r="BB19" i="4"/>
  <c r="BB20" i="4"/>
  <c r="BB22" i="4"/>
  <c r="BB23" i="4"/>
  <c r="BB24" i="4"/>
  <c r="BB25" i="4"/>
  <c r="BB26" i="4"/>
  <c r="BB28" i="4"/>
  <c r="BB29" i="4"/>
  <c r="BB30" i="4"/>
  <c r="BB37" i="4"/>
  <c r="BB51" i="4"/>
  <c r="BB52" i="4"/>
  <c r="BB53" i="4"/>
  <c r="BB54" i="4"/>
  <c r="BB55" i="4"/>
  <c r="BB57" i="4"/>
  <c r="BB61" i="4"/>
  <c r="BB62" i="4"/>
  <c r="BB63" i="4"/>
  <c r="BB64" i="4"/>
  <c r="BB66" i="4"/>
  <c r="BB67" i="4"/>
  <c r="BB68" i="4"/>
  <c r="BB70" i="4"/>
  <c r="BB71" i="4"/>
  <c r="BB72" i="4"/>
  <c r="BB73" i="4"/>
  <c r="BB74" i="4"/>
  <c r="BB75" i="4"/>
  <c r="BB76" i="4"/>
  <c r="BB77" i="4"/>
  <c r="AS45" i="4" l="1"/>
  <c r="Q44" i="4"/>
  <c r="BA44" i="4"/>
  <c r="I40" i="4"/>
  <c r="L40" i="4" s="1"/>
  <c r="AM38" i="4" l="1"/>
  <c r="AM250" i="4" s="1"/>
  <c r="X38" i="4"/>
  <c r="X250" i="4" s="1"/>
  <c r="AX38" i="4"/>
  <c r="AX250" i="4" s="1"/>
  <c r="L77" i="4" l="1"/>
  <c r="I76" i="4"/>
  <c r="L76" i="4" s="1"/>
  <c r="I75" i="4"/>
  <c r="L75" i="4" s="1"/>
  <c r="I74" i="4"/>
  <c r="L74" i="4" s="1"/>
  <c r="I73" i="4"/>
  <c r="L73" i="4" s="1"/>
  <c r="I72" i="4"/>
  <c r="L72" i="4" s="1"/>
  <c r="I71" i="4"/>
  <c r="L71" i="4" s="1"/>
  <c r="I70" i="4"/>
  <c r="L70" i="4" s="1"/>
  <c r="I69" i="4"/>
  <c r="L69" i="4" s="1"/>
  <c r="P69" i="4" l="1"/>
  <c r="Y69" i="4"/>
  <c r="Z69" i="4"/>
  <c r="Z250" i="4" s="1"/>
  <c r="AN69" i="4"/>
  <c r="AO69" i="4"/>
  <c r="AO250" i="4" s="1"/>
  <c r="AD69" i="4"/>
  <c r="M69" i="4"/>
  <c r="I61" i="4"/>
  <c r="L61" i="4" s="1"/>
  <c r="AD60" i="4" s="1"/>
  <c r="Q69" i="4" l="1"/>
  <c r="AF69" i="4"/>
  <c r="AE69" i="4" s="1"/>
  <c r="N69" i="4"/>
  <c r="O69" i="4" s="1"/>
  <c r="AE60" i="4"/>
  <c r="AN60" i="4"/>
  <c r="AF60" i="4" s="1"/>
  <c r="M60" i="4"/>
  <c r="N60" i="4" s="1"/>
  <c r="BB65" i="4"/>
  <c r="N50" i="4" l="1"/>
  <c r="I59" i="4"/>
  <c r="L59" i="4" s="1"/>
  <c r="I58" i="4"/>
  <c r="L58" i="4" s="1"/>
  <c r="I41" i="4"/>
  <c r="L41" i="4" s="1"/>
  <c r="O50" i="4" l="1"/>
  <c r="AD58" i="4"/>
  <c r="M58" i="4"/>
  <c r="N58" i="4" s="1"/>
  <c r="AD59" i="4"/>
  <c r="M59" i="4"/>
  <c r="N59" i="4" s="1"/>
  <c r="Y59" i="4"/>
  <c r="BB59" i="4"/>
  <c r="I39" i="4"/>
  <c r="L39" i="4" s="1"/>
  <c r="AD50" i="4" l="1"/>
  <c r="AN59" i="4"/>
  <c r="AF59" i="4" s="1"/>
  <c r="AE59" i="4"/>
  <c r="AE58" i="4"/>
  <c r="AN58" i="4"/>
  <c r="AF58" i="4" s="1"/>
  <c r="Y58" i="4"/>
  <c r="BB58" i="4"/>
  <c r="I9" i="4"/>
  <c r="BB50" i="4" l="1"/>
  <c r="I10" i="4"/>
  <c r="I38" i="4" l="1"/>
  <c r="L38" i="4" s="1"/>
  <c r="M38" i="4" s="1"/>
  <c r="AN38" i="4" l="1"/>
  <c r="AE38" i="4" s="1"/>
  <c r="Y38" i="4"/>
  <c r="P38" i="4"/>
  <c r="Q38" i="4" s="1"/>
  <c r="G10" i="5"/>
  <c r="AF38" i="4" l="1"/>
  <c r="AD38" i="4"/>
  <c r="N38" i="4"/>
  <c r="O38" i="4" s="1"/>
  <c r="AS38" i="4" s="1"/>
  <c r="BA38" i="4" s="1"/>
  <c r="AY38" i="4" l="1"/>
  <c r="AT38" i="4" s="1"/>
  <c r="I26" i="4"/>
  <c r="L26" i="4" s="1"/>
  <c r="I25" i="4"/>
  <c r="L25" i="4" s="1"/>
  <c r="I24" i="4"/>
  <c r="L24" i="4" s="1"/>
  <c r="I23" i="4"/>
  <c r="L23" i="4" s="1"/>
  <c r="I22" i="4"/>
  <c r="L22" i="4" s="1"/>
  <c r="I21" i="4"/>
  <c r="L21" i="4" s="1"/>
  <c r="M21" i="4" l="1"/>
  <c r="N21" i="4" s="1"/>
  <c r="O21" i="4" s="1"/>
  <c r="BA21" i="4" s="1"/>
  <c r="O27" i="4"/>
  <c r="I20" i="4"/>
  <c r="L20" i="4" s="1"/>
  <c r="I19" i="4"/>
  <c r="L19" i="4" s="1"/>
  <c r="I18" i="4"/>
  <c r="L18" i="4" s="1"/>
  <c r="I17" i="4"/>
  <c r="L17" i="4" s="1"/>
  <c r="I16" i="4"/>
  <c r="L16" i="4" s="1"/>
  <c r="I15" i="4"/>
  <c r="L15" i="4" s="1"/>
  <c r="I13" i="4"/>
  <c r="L13" i="4" s="1"/>
  <c r="AD27" i="4" l="1"/>
  <c r="AN27" i="4" s="1"/>
  <c r="AF27" i="4" s="1"/>
  <c r="Y27" i="4"/>
  <c r="Q27" i="4" s="1"/>
  <c r="P27" i="4"/>
  <c r="M15" i="4"/>
  <c r="N15" i="4" s="1"/>
  <c r="O15" i="4" s="1"/>
  <c r="AD21" i="4"/>
  <c r="Y21" i="4"/>
  <c r="Q21" i="4" s="1"/>
  <c r="P21" i="4"/>
  <c r="AE27" i="4" l="1"/>
  <c r="AE21" i="4"/>
  <c r="AN21" i="4"/>
  <c r="AF21" i="4" s="1"/>
  <c r="Y15" i="4"/>
  <c r="Q15" i="4" s="1"/>
  <c r="P15" i="4"/>
  <c r="AD15" i="4"/>
  <c r="I12" i="4"/>
  <c r="L12" i="4" s="1"/>
  <c r="I11" i="4"/>
  <c r="L11" i="4" s="1"/>
  <c r="AN15" i="4" l="1"/>
  <c r="AF15" i="4" s="1"/>
  <c r="AE15" i="4"/>
  <c r="AY15" i="4"/>
  <c r="L10" i="4"/>
  <c r="I14" i="4"/>
  <c r="L14" i="4" s="1"/>
  <c r="AT15" i="4" l="1"/>
  <c r="AS15" i="4"/>
  <c r="BB15" i="4"/>
  <c r="L9" i="4"/>
  <c r="M9" i="4" s="1"/>
  <c r="M250" i="4" s="1"/>
  <c r="AZ15" i="4" l="1"/>
  <c r="BA15" i="4"/>
  <c r="H9" i="5"/>
  <c r="G9" i="5"/>
  <c r="N9" i="4" l="1"/>
  <c r="N250" i="4" s="1"/>
  <c r="J9" i="5"/>
  <c r="L9" i="5" s="1"/>
  <c r="I9" i="5"/>
  <c r="K9" i="5" s="1"/>
  <c r="O9" i="4" l="1"/>
  <c r="O250" i="4" s="1"/>
  <c r="G8" i="5"/>
  <c r="H7" i="5"/>
  <c r="G7" i="5"/>
  <c r="AD9" i="4" l="1"/>
  <c r="AD250" i="4" s="1"/>
  <c r="Y9" i="4"/>
  <c r="Y250" i="4" s="1"/>
  <c r="P9" i="4"/>
  <c r="P250" i="4" s="1"/>
  <c r="J7" i="5"/>
  <c r="I7" i="5"/>
  <c r="AE9" i="4" l="1"/>
  <c r="AE250" i="4" s="1"/>
  <c r="AY9" i="4"/>
  <c r="AY250" i="4" s="1"/>
  <c r="AS9" i="4"/>
  <c r="AS250" i="4" s="1"/>
  <c r="AN9" i="4"/>
  <c r="AN250" i="4" s="1"/>
  <c r="BA102" i="4"/>
  <c r="BA100" i="4"/>
  <c r="K7" i="5"/>
  <c r="K11" i="5" s="1"/>
  <c r="I11" i="5"/>
  <c r="L7" i="5"/>
  <c r="L11" i="5" s="1"/>
  <c r="J11" i="5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J5" i="2" s="1"/>
  <c r="B5" i="2"/>
  <c r="B6" i="2" s="1"/>
  <c r="B7" i="2" s="1"/>
  <c r="B8" i="2" s="1"/>
  <c r="B9" i="2" s="1"/>
  <c r="B10" i="2" s="1"/>
  <c r="B11" i="2" s="1"/>
  <c r="G4" i="2"/>
  <c r="I4" i="2" s="1"/>
  <c r="J4" i="2" s="1"/>
  <c r="AZ9" i="4" l="1"/>
  <c r="AZ250" i="4" s="1"/>
  <c r="BA99" i="4"/>
  <c r="BA80" i="4"/>
  <c r="BA104" i="4"/>
  <c r="BA105" i="4"/>
  <c r="BA95" i="4"/>
  <c r="BA9" i="4"/>
  <c r="BA118" i="4"/>
  <c r="BA114" i="4"/>
  <c r="BA121" i="4"/>
  <c r="BA60" i="4"/>
  <c r="BA107" i="4"/>
  <c r="BA45" i="4"/>
  <c r="BA119" i="4"/>
  <c r="BA110" i="4"/>
  <c r="BA109" i="4"/>
  <c r="BA91" i="4"/>
  <c r="BA127" i="4"/>
  <c r="BA97" i="4"/>
  <c r="BA112" i="4"/>
  <c r="BA113" i="4"/>
  <c r="BA101" i="4"/>
  <c r="BA115" i="4"/>
  <c r="BA98" i="4"/>
  <c r="BA69" i="4"/>
  <c r="BA50" i="4"/>
  <c r="BA139" i="4"/>
  <c r="BA120" i="4"/>
  <c r="BA151" i="4"/>
  <c r="BA111" i="4"/>
  <c r="BA93" i="4"/>
  <c r="BA94" i="4"/>
  <c r="BA27" i="4"/>
  <c r="BA96" i="4"/>
  <c r="BA103" i="4"/>
  <c r="BA117" i="4"/>
  <c r="BA116" i="4"/>
  <c r="BA133" i="4"/>
  <c r="BA108" i="4"/>
  <c r="BA122" i="4"/>
  <c r="BA157" i="4"/>
  <c r="BA145" i="4"/>
  <c r="AT9" i="4"/>
  <c r="AT250" i="4" s="1"/>
  <c r="AF9" i="4"/>
  <c r="AF250" i="4" s="1"/>
  <c r="J12" i="2"/>
  <c r="BA250" i="4" l="1"/>
  <c r="BB69" i="4"/>
  <c r="BB21" i="4" l="1"/>
  <c r="BB27" i="4"/>
  <c r="Q112" i="4" l="1"/>
  <c r="Q113" i="4"/>
  <c r="Q115" i="4"/>
  <c r="Q160" i="4"/>
  <c r="BB160" i="4" s="1"/>
  <c r="Q9" i="4"/>
  <c r="BB9" i="4" l="1"/>
  <c r="Q60" i="4"/>
  <c r="BB60" i="4" l="1"/>
  <c r="BB250" i="4" s="1"/>
  <c r="Q91" i="4"/>
  <c r="Q99" i="4"/>
  <c r="Q250" i="4" l="1"/>
</calcChain>
</file>

<file path=xl/sharedStrings.xml><?xml version="1.0" encoding="utf-8"?>
<sst xmlns="http://schemas.openxmlformats.org/spreadsheetml/2006/main" count="1858" uniqueCount="376">
  <si>
    <t>№ п/п</t>
  </si>
  <si>
    <t>Вид работ</t>
  </si>
  <si>
    <t>№ расценки</t>
  </si>
  <si>
    <t>Стоимость в ценах на 01.01.2015</t>
  </si>
  <si>
    <t>Дефлятор текущих цен</t>
  </si>
  <si>
    <t>Стоимость в текущих ценах</t>
  </si>
  <si>
    <t>Стоимость с НДС</t>
  </si>
  <si>
    <t>Кол-во, км</t>
  </si>
  <si>
    <t>ИТОГО</t>
  </si>
  <si>
    <t>Цена, млн. руб.</t>
  </si>
  <si>
    <t>млн. руб.</t>
  </si>
  <si>
    <t>заполнять</t>
  </si>
  <si>
    <t>не заполнять</t>
  </si>
  <si>
    <t>Расчет стоимости строительства КЛ</t>
  </si>
  <si>
    <t>Напряжение, кВ</t>
  </si>
  <si>
    <t>Норматив цены, млн. руб.</t>
  </si>
  <si>
    <t>Полная стоимость в текущих ценах</t>
  </si>
  <si>
    <t>Полная стоимость в текущих ценах с НДС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</si>
  <si>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08.02.2016 №75)</t>
  </si>
  <si>
    <t>Год раскрытия информации: 2018 год</t>
  </si>
  <si>
    <t>П3-03</t>
  </si>
  <si>
    <t>Л2-44-2</t>
  </si>
  <si>
    <t>Строительство ВЛ 35 кВ от ПС 110 кВ Вольная до ПС 35 кВ Весенняя (ПИР, СМР, ввод-2019г.)</t>
  </si>
  <si>
    <t>Строительство ВЛ 110 кВ Соколовская-Вольная-2 (ПИР, СМР, ввод-2019г.)</t>
  </si>
  <si>
    <t>Л1-44-4</t>
  </si>
  <si>
    <t>П3-10</t>
  </si>
  <si>
    <t>Полная стоимость в прогнозных ценах  с НДС</t>
  </si>
  <si>
    <t>Полная стоимость в прогнозных ценах</t>
  </si>
  <si>
    <t>Начальник производственно- технического отдела  филиала ООО ХК "СДС-Энерго"-"Прокопьевскэнерго"</t>
  </si>
  <si>
    <t>А.А. Гребенчук</t>
  </si>
  <si>
    <t xml:space="preserve"> Таблица 1. Строительство (реконструкция) ВЛ 6-750 кВ</t>
  </si>
  <si>
    <t>По объектам  инвестиционной программы ООО ХК "СДС-Энерго" на 2020 год</t>
  </si>
  <si>
    <t>Наименование</t>
  </si>
  <si>
    <t>единица</t>
  </si>
  <si>
    <t>км</t>
  </si>
  <si>
    <t>Коэффициент перехода (пересчета) от базового УНЦ к УНЦ субъектов РФ</t>
  </si>
  <si>
    <t>-</t>
  </si>
  <si>
    <t>ячейка</t>
  </si>
  <si>
    <t>В7-01</t>
  </si>
  <si>
    <t>Напряжение 6 кВ</t>
  </si>
  <si>
    <t>П6-06</t>
  </si>
  <si>
    <t>объект</t>
  </si>
  <si>
    <t>Л3-02-1</t>
  </si>
  <si>
    <t xml:space="preserve">Напряжение - 6 кВ, тип опор и количество цепей - одноцепная, все типы опор за исключением многогранных </t>
  </si>
  <si>
    <t>Л4-02-1</t>
  </si>
  <si>
    <t>тн опор</t>
  </si>
  <si>
    <t xml:space="preserve">Напряжение - 6 кВ,тип опор - все типы опор за исключением многогранных </t>
  </si>
  <si>
    <t>Л7-06-3</t>
  </si>
  <si>
    <t>Б7-02</t>
  </si>
  <si>
    <t>га</t>
  </si>
  <si>
    <t>Количество фазных проводов - 1 шт, сечение фазного провода - 150 мм2, тип провода - СИП-3</t>
  </si>
  <si>
    <t>Расчистка кустарников и мелколесья, вырубка деревьев с диаметром ствола до 11 см. 12 см и более</t>
  </si>
  <si>
    <t>П6-07</t>
  </si>
  <si>
    <t xml:space="preserve">Затраты по УНЦ от 6 до 10,9 </t>
  </si>
  <si>
    <t>Ц1-42-4</t>
  </si>
  <si>
    <t>Ц2-42-35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</si>
  <si>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</si>
  <si>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Л7-04-3</t>
  </si>
  <si>
    <t>Количество фазных проводов - 1 шт, сечение фазного провода - 70 мм2, тип провода - СИП-3</t>
  </si>
  <si>
    <t>Ц1-42-2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</si>
  <si>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</si>
  <si>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И2-01-1</t>
  </si>
  <si>
    <t>Напряжение - 35 кВ, номинальный ток - 2000 А, номинальный ток отключения - 25 кА</t>
  </si>
  <si>
    <t>В8-01-1</t>
  </si>
  <si>
    <t>Напряжение - 6 кВ, номинальный ток - 1000 А, номинальный ток отключения - 20 кА</t>
  </si>
  <si>
    <t>И10-01-1</t>
  </si>
  <si>
    <t>Наименование - ТТ на три фазы, напряжение - 35 кВ.</t>
  </si>
  <si>
    <t>Ц1-42-3</t>
  </si>
  <si>
    <t>П6-08</t>
  </si>
  <si>
    <t xml:space="preserve">Затраты по УНЦ от 11 до 20,9 </t>
  </si>
  <si>
    <t>И12-08</t>
  </si>
  <si>
    <t>Прочие устройства (аппаратура)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</si>
  <si>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17.01.2019 №10)</t>
  </si>
  <si>
    <t>И5-06-2</t>
  </si>
  <si>
    <t>Напряжение - 35 кВ</t>
  </si>
  <si>
    <t>Напряжение - 35 кВ, номинальный ток 630 А, номинальный ток отключения 20кА</t>
  </si>
  <si>
    <t>Технические характеристики</t>
  </si>
  <si>
    <t>Количество</t>
  </si>
  <si>
    <t>Единицы измерения</t>
  </si>
  <si>
    <t xml:space="preserve">Укрупненный норматив цены,  тыс рублей (без НДС) </t>
  </si>
  <si>
    <t>Величина затрат, тыс рублей (без НДС)</t>
  </si>
  <si>
    <t>Реконструкция сооружения ЛЭП 6 кВ 6-11-Т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</si>
  <si>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НДС</t>
  </si>
  <si>
    <t xml:space="preserve">Итого объем финансовых потребностей, в ценах, в которых рассчитаны укрупненные нормативы цены с учетом переводного коэффициента (без НДС) </t>
  </si>
  <si>
    <t>Итого объем финансовых потребностей ОФПУНЦd, определенный в текущих ценах, в которых рассчитаны укрупненные нормативы цены  (с НДС)</t>
  </si>
  <si>
    <r>
      <rPr>
        <b/>
        <sz val="11"/>
        <rFont val="Times New Roman"/>
        <family val="1"/>
        <charset val="204"/>
      </rPr>
      <t xml:space="preserve">Объем финансовых потребностей 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 xml:space="preserve">УНЦ </t>
    </r>
    <r>
      <rPr>
        <b/>
        <sz val="11"/>
        <rFont val="Times New Roman"/>
        <family val="1"/>
        <charset val="204"/>
      </rPr>
      <t>(в прогнозных ценах с НДС)</t>
    </r>
  </si>
  <si>
    <t>Итого фактический объем финансовых потребностей ОФПУНЦd, определенный в текущих ценах, в которых рассчитаны укрупненные нормативы цены  (с НДС)</t>
  </si>
  <si>
    <t>В3-13-1</t>
  </si>
  <si>
    <t>Т5-10-3</t>
  </si>
  <si>
    <t>Мощность 100кВА, Т-35/0,23</t>
  </si>
  <si>
    <t>Э3-08-2</t>
  </si>
  <si>
    <t>Мощность 630 кВА</t>
  </si>
  <si>
    <t>Ц1-42-5</t>
  </si>
  <si>
    <t>Т4-13-2</t>
  </si>
  <si>
    <t>Мощность трансформатора 63 МВА, двухобмоточный, напряжение 110/6 кВ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</si>
  <si>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</si>
  <si>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Выполнение работ по модернизации системы телемеханики на ПС 110/10 кВ "Керамзитовая" (ПИР- 2019 г., СМР, ПНР, ввод - 2020 г.)</t>
  </si>
  <si>
    <t>А3-01</t>
  </si>
  <si>
    <t>Затраты по УНЦ,млн.руб.</t>
  </si>
  <si>
    <t>Напряжение, 35кВ и выше</t>
  </si>
  <si>
    <t>Ц1-42-11</t>
  </si>
  <si>
    <t>Выполнение работ по модернизации системы телемеханики на ПС 110/6,6/6,3 кВ "Набережная" (ПИР, СМР, ПНР, ввод - 2020 г.)</t>
  </si>
  <si>
    <t>А4-01</t>
  </si>
  <si>
    <t>Напряжение, 6кВ</t>
  </si>
  <si>
    <t>0,4; 6; 10</t>
  </si>
  <si>
    <t>П6-09</t>
  </si>
  <si>
    <t>А1-01</t>
  </si>
  <si>
    <t xml:space="preserve">точка учета </t>
  </si>
  <si>
    <t>Класс напряжения объекта 0,23кВ, прибор учета однофазный</t>
  </si>
  <si>
    <t>А1-02</t>
  </si>
  <si>
    <t>Класс напряжения объекта 0,4кВ, прибор учета трехфазный</t>
  </si>
  <si>
    <t>А2-01</t>
  </si>
  <si>
    <t>ИВКЭ для ТП, РУ 6-20кВ</t>
  </si>
  <si>
    <t>А5-02</t>
  </si>
  <si>
    <t>Сервер АСУТП и ТМ (ССПТИ)</t>
  </si>
  <si>
    <t>А5-08</t>
  </si>
  <si>
    <t>АРМ оперативного персонала</t>
  </si>
  <si>
    <t>Л3-04-1</t>
  </si>
  <si>
    <t>Тип опор и количество цепей - одноцепная, все типы опор за исключением многогранных</t>
  </si>
  <si>
    <t>Л4-03-1</t>
  </si>
  <si>
    <t>Л5-05</t>
  </si>
  <si>
    <t xml:space="preserve">Сечение фазного провода - 185 мм2, </t>
  </si>
  <si>
    <t>Л6-07</t>
  </si>
  <si>
    <t>Диаметр - 14,2 мм</t>
  </si>
  <si>
    <t>Б7-03</t>
  </si>
  <si>
    <t>Ц2-42-23</t>
  </si>
  <si>
    <t>М4-01</t>
  </si>
  <si>
    <t>Л5-04</t>
  </si>
  <si>
    <t>Сечение фазного провода - 150 мм2</t>
  </si>
  <si>
    <t>О1-03-1</t>
  </si>
  <si>
    <t>Механическая прочность на разрыв в кН 114, кол-во волокон в тросе 24</t>
  </si>
  <si>
    <t>Л1-03-1</t>
  </si>
  <si>
    <t>П3-07</t>
  </si>
  <si>
    <t>Напряжение - 35 кВ, протяженность - 5 км.</t>
  </si>
  <si>
    <t>К1-05-2</t>
  </si>
  <si>
    <t>Б2-02-2</t>
  </si>
  <si>
    <t>Н2-04</t>
  </si>
  <si>
    <t>П5-01</t>
  </si>
  <si>
    <t>1 км</t>
  </si>
  <si>
    <t>1 км по трассе</t>
  </si>
  <si>
    <t>Кабель с алюминеевой жилой,сечение жилы 120 мм2, напряжение 10 кВ</t>
  </si>
  <si>
    <t>Напряжение 10 кВ, две цепи КЛ, без восстановления газонов, все субъекты</t>
  </si>
  <si>
    <t>Кабельная эстакада</t>
  </si>
  <si>
    <t>Напряжение - 10 кВ</t>
  </si>
  <si>
    <t>Ц1-42-7</t>
  </si>
  <si>
    <t>Строительство  КЛ 10 кВ ПС 110/10 кВ "Керамзитовая"</t>
  </si>
  <si>
    <r>
      <t xml:space="preserve">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ОФ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>всего</t>
    </r>
    <r>
      <rPr>
        <b/>
        <sz val="11"/>
        <rFont val="Times New Roman"/>
        <family val="1"/>
        <charset val="204"/>
      </rPr>
      <t xml:space="preserve"> (в прогнозных ценах с НДС), в том числе:</t>
    </r>
  </si>
  <si>
    <r>
      <t xml:space="preserve">Фактический 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Ф</t>
    </r>
    <r>
      <rPr>
        <b/>
        <i/>
        <vertAlign val="subscript"/>
        <sz val="11"/>
        <rFont val="Times New Roman"/>
        <family val="1"/>
        <charset val="204"/>
      </rPr>
      <t xml:space="preserve">d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</si>
  <si>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r>
      <t xml:space="preserve">Объем финансовых потребностей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perscript"/>
        <sz val="11"/>
        <rFont val="Times New Roman"/>
        <family val="1"/>
        <charset val="204"/>
      </rPr>
      <t>УНЦ</t>
    </r>
    <r>
      <rPr>
        <b/>
        <i/>
        <vertAlign val="subscript"/>
        <sz val="11"/>
        <rFont val="Times New Roman"/>
        <family val="1"/>
        <charset val="204"/>
      </rPr>
      <t xml:space="preserve">d 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</si>
  <si>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t>35;6</t>
  </si>
  <si>
    <t>В3-14-1</t>
  </si>
  <si>
    <t>Напряжение 35 кВ номинальный ток 1000А, номинальный ток отключение - 25кА</t>
  </si>
  <si>
    <t>П6-10</t>
  </si>
  <si>
    <t>Т4-05-1</t>
  </si>
  <si>
    <t>Мощность 25 МВА</t>
  </si>
  <si>
    <t>В3-01-1</t>
  </si>
  <si>
    <t>Напряжение 35 кВ номинальный ток 1000 А, номинальный ток отключение - 25кА</t>
  </si>
  <si>
    <t>В3-03-1</t>
  </si>
  <si>
    <t>Напряжение 35 кВ номинальный ток 3150 А, номинальный ток отключение - 25кА</t>
  </si>
  <si>
    <t>Л3-03-2</t>
  </si>
  <si>
    <t>Тип опор и количество цепей - двухцепная, все типы опор за исключением многогранных</t>
  </si>
  <si>
    <t>Ц1-42-35</t>
  </si>
  <si>
    <t>Б1-10</t>
  </si>
  <si>
    <t>м2</t>
  </si>
  <si>
    <t>Подготовка и устройство территории ПС</t>
  </si>
  <si>
    <t>тн</t>
  </si>
  <si>
    <t>П3-12</t>
  </si>
  <si>
    <t>Напряжение - 110 кВ, протяженность - 10 км.</t>
  </si>
  <si>
    <t>П2-01</t>
  </si>
  <si>
    <t>1 ед.</t>
  </si>
  <si>
    <t>Ячейка выключателя, напряжение 3,5 кВ</t>
  </si>
  <si>
    <t>План</t>
  </si>
  <si>
    <t>Предложение по корретировке плана</t>
  </si>
  <si>
    <t>Стоимость в ценах на 01.01.2018г.  с учетом коэффициента</t>
  </si>
  <si>
    <t xml:space="preserve">дефлятор от </t>
  </si>
  <si>
    <t>нд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</si>
  <si>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</si>
  <si>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Напряжение - 35 кВ, номинальный ток - 1000 А, номинальный ток напряжения - 25 кА</t>
  </si>
  <si>
    <t xml:space="preserve">Затраты по УНЦ от 21 до 50,9 </t>
  </si>
  <si>
    <t>Реконструкции ЗРУ-10 кВ,  ПС 110/10 кВ "Керамзитовая". Замена ячеек КРУ-10.(ПИР - 2021 г., СМР, ПНР, ввод - 2022 г.)</t>
  </si>
  <si>
    <t>Т4-06-2</t>
  </si>
  <si>
    <t>Мощность - 10 МВА, обозначение двухобмоточного трансформатора - 110 кВ</t>
  </si>
  <si>
    <t>Т4-07-1</t>
  </si>
  <si>
    <t>Мощность - 16 МВА, обозначение двухобмоточного трансформатора - 35 кВ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</si>
  <si>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</si>
  <si>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Т-2 ТДНС-10000 кВА 35/6 кВ на ПС 35/6 кВ № 10. (СМР, ПНР, ввод - 2023 г.)</t>
  </si>
  <si>
    <t>Т4-06-1</t>
  </si>
  <si>
    <t>Мощность - 10 МВА, обозначение двухобмоточного трансформатора - 35 кВ</t>
  </si>
  <si>
    <t>Замена отработавшего срок эксплуатации трансформатора Т-3 ТДНС-10000 кВА 35/6 кВ на ПС 35/6 кВ № 42 (СМР, ПНР, ввод - 2023 г.)</t>
  </si>
  <si>
    <t>Реконструкция ПС  35/6 кВ № 1 ЗРУ-35 с заменой масляных выключателей 35 на вакуумные, установка ШОТ.(ПИР, СМР, ПНР, ввод - 2023 г.)</t>
  </si>
  <si>
    <t>В2-05-1</t>
  </si>
  <si>
    <t>Напряжение - 35 кВ, номинальный ток - 2000 А, номинальный ток напряжения - 25 кА</t>
  </si>
  <si>
    <t>И1 3-05</t>
  </si>
  <si>
    <t>Шкаф с зарядно-подзарядными устройствами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</si>
  <si>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</si>
  <si>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 xml:space="preserve">Затраты по УНЦ от 1,1 до 5,9 </t>
  </si>
  <si>
    <t>Замена отработавшего срок эксплуатации трансформатора Т-2 ТДНС-10000 кВА  на ПС 110/10 кВ "Керамзитовая (СМР, ПНР, ввод - 2024 г.)</t>
  </si>
  <si>
    <t xml:space="preserve">Реконструкция ОРУ-35 кВ ПС 35/6 кВ № 41 с установкой блок-модуля 35 кВ (СМР, ПНР, ввод - 2024 г.) </t>
  </si>
  <si>
    <t>Реконструкция ЗРУ-6 кВ ПС 6/0,4 кВ № 32 с устройствами РЗиА,  установкой ШОТ (СМР, ПНР, ввод - 2024 г.)</t>
  </si>
  <si>
    <t>В2-01-1</t>
  </si>
  <si>
    <t>Напряжение - 6 кВ, номинальный ток - 630 А, номинальный ток напряжения - 20 кА</t>
  </si>
  <si>
    <t>П2-02</t>
  </si>
  <si>
    <t>ФАКТ</t>
  </si>
  <si>
    <t>По объектам  инвестиционной программы ООО ХК "СДС-Энерго" 2020 - 2024 годов</t>
  </si>
  <si>
    <t>Выкуп (строительство) ВЛ 110 кВ от ПС 220/110/35кВ "Соколовская" до ПС 110/35/6 кВ "Вольная"</t>
  </si>
  <si>
    <t>Сечение фазного провода - 185 мм2</t>
  </si>
  <si>
    <t>Л1-04-1</t>
  </si>
  <si>
    <t>ед.</t>
  </si>
  <si>
    <t>Напряжение - 110 кВ, протяженность -10 км.</t>
  </si>
  <si>
    <t xml:space="preserve">Строительство ПС 110/35/6 кВ"Вольная" </t>
  </si>
  <si>
    <t>110;35;6</t>
  </si>
  <si>
    <t>В4-01-1</t>
  </si>
  <si>
    <t>Напряжение 110 кВ номинальный ток - вне зависимости, номинальный ток отключение - 40кА</t>
  </si>
  <si>
    <t>Т1-04-1</t>
  </si>
  <si>
    <t>Трехобмоточный трансформатор напряжением 110/35/6 кВ Мощность 25 МВА</t>
  </si>
  <si>
    <t>Напряжение 35 кВ номинальный ток 630 А, номинальный ток отключение - 20 кА</t>
  </si>
  <si>
    <t>Напряжение 6 кВ номинальный ток 1000 А, номинальный ток отключение - 20кА</t>
  </si>
  <si>
    <t>Ц2-42-4</t>
  </si>
  <si>
    <t>расценка</t>
  </si>
  <si>
    <t>коэф-т</t>
  </si>
  <si>
    <t>Реконструкция ЗРУ-35 кВ ПС 35/10 кВ "Танай". Замена ячеек КРУ-35 (ПИР - 2020 г., СМР, ПНР, ввод - 2021 г.)</t>
  </si>
  <si>
    <t>Реконструкция соружения ЛЭП 6 кВ  6-52-П проектными работами с заменой деревянных опор и провода на марку СИП и установкой реклоузеров (с технологией Smart Grid) на отходящих линиях (1 шт.) (ПИР, СМР, ПНР, ввод - 2023 г.)</t>
  </si>
  <si>
    <t>И1 1-07-2</t>
  </si>
  <si>
    <t>И1 1-04--2</t>
  </si>
  <si>
    <t>И1 2-03</t>
  </si>
  <si>
    <t>И1 1-16-2</t>
  </si>
  <si>
    <t>Ц1-42-12</t>
  </si>
  <si>
    <t>Н3-01-2</t>
  </si>
  <si>
    <t>Сечение жилы 1,5мм2, количество жил 5шт</t>
  </si>
  <si>
    <t>Н3-02-1</t>
  </si>
  <si>
    <t>Сечение жилы 2,5мм2, количество жил 4шт</t>
  </si>
  <si>
    <t>Строительство отпайки от ЛЭП-6кВ 6-52-П для ПС №25</t>
  </si>
  <si>
    <t xml:space="preserve">Затраты по УНЦ от 1 до 5,9 </t>
  </si>
  <si>
    <t>Строительство отпайки от 2-х цепной ЛЭП-10кВф.2.4 для ПС №22</t>
  </si>
  <si>
    <t>Реконструкция временной ВЛ 10 кВ и ТП 336 (инв. № 00003560) с проектными работами с заменой деревянных опор  на ж/б, провода на марку СИП и установкой реклоузера (с технологией Smart Grid- 1 шт.), разъединителей (7 шт.) на отходящих линиях (ПИР, СМР, ПНР, ввод - 2021 г.)</t>
  </si>
  <si>
    <t>Напряжение 10 кВ, протяженность 5,23 км</t>
  </si>
  <si>
    <t>Количество фазных проводов - 1 шт, сечение фазного провода - 120 мм2, тип провода - СИП-3</t>
  </si>
  <si>
    <t>Напряжение 6 кВ, номинальный ток 1000 А, номинальный ток отключения 20кА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</si>
  <si>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</si>
  <si>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А7-05</t>
  </si>
  <si>
    <t>Мультиплексор ПЦН</t>
  </si>
  <si>
    <t>ед</t>
  </si>
  <si>
    <t>Затраты по УНЦ от 1.1 до 5.9 млн.руб</t>
  </si>
  <si>
    <t>Максимально допустимая растягмивающая нагрузка, кН</t>
  </si>
  <si>
    <t>О2-02-2</t>
  </si>
  <si>
    <t>Замена отработавшего срок эксплуатации трансформатора Т-1 ТДН-15000 кВА 35/6 кВ на ТДН-10000 кВА 35/6 на ПС 35/6 кВ № 5 (СМР - 2024г.)</t>
  </si>
  <si>
    <t xml:space="preserve">Реконструкция ОРУ-35 кВ (замена выключателей 35 кВ, установка разъединителей и предохранителей 35 кВ) ПС №31 (2020 г.)
</t>
  </si>
  <si>
    <t>Реконструкция ТП-3 (2020 г.)</t>
  </si>
  <si>
    <t>Замена трансформатора ТДНГУ –63000/110 на ПС АЗОТ-1 (2020 г.)</t>
  </si>
  <si>
    <t>Выкуп (строительство) ВЛ 35 кВ от ПС 110/35/6 кВ "Вольная" до ПС 35/6 кВ "ОГР" (2020 г.)</t>
  </si>
  <si>
    <t xml:space="preserve">Строительство ВЛ 110 кВ Соколовская-Вольная-2 (1 этап: ПИР-2019г., СМР, ввод-2020г., 2 этап: ПИР, СМР, ввод -2021г.)
</t>
  </si>
  <si>
    <t>Дефлятор:
2019г. от 30.09.2020г.
2021 г. от 26.09.2020г.</t>
  </si>
  <si>
    <t>Замена отработавшего срок эксплуатации трансформатора Т-3 ТДНГУ-40000 кВА 110/6 кВ на ПС 110/6 кВ "Азот-2" - 1 шт. (СМР, ПНР, ввод - 2022 г.)</t>
  </si>
  <si>
    <t>Т4-11-2</t>
  </si>
  <si>
    <t>Мощность трансформатора 40 МВА, двухобмоточный, напряжение 110/6 кВ</t>
  </si>
  <si>
    <t>н</t>
  </si>
  <si>
    <t>скрыть</t>
  </si>
  <si>
    <t>проверить индексы по строительству+факт 2021 г.</t>
  </si>
  <si>
    <t>Строительство ЛЭП 6 кВ от ячейки №14 ПС 6 кВ №8 (СМР, ввод - 2022 г.)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</si>
  <si>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</si>
  <si>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Строительство ВЛ-6 кВ от ПС №5 (ПИР, СМР, ввод -2021 г.)</t>
  </si>
  <si>
    <t>Реконструкция ЗРУ-35 кВ ПС 35/6 кВ "ОГР" с заменой ячеек КРУ-35. (ПИР - 2022 г.СМР, ПНР, ввод - 2023 г.)</t>
  </si>
  <si>
    <t>Строительство cооружение линейное электротехническое: ВЛЗ-6 кВ ф.2 ПС №10 (ПИР, СМР, ввод - 2022 г.)</t>
  </si>
  <si>
    <t>Строительство cооружение линейное электротехническое: ВЛЗ-6 кВ ф.4 ПС №10 (ПИР, СМР, ввод - 2022 г.)</t>
  </si>
  <si>
    <t>Строительство сооружение линейное электротехническое: Отпайка от ВЛЗ-10 кВ ф. 10-1-П (ПИР, СМР, ввод - 2022 г.)</t>
  </si>
  <si>
    <t>П3-02</t>
  </si>
  <si>
    <t>Напряжение 0,4-20 кВ, протяженность - 2 км</t>
  </si>
  <si>
    <t>Напряжение 0,4-20 кВ, протяженность - 5 км</t>
  </si>
  <si>
    <t>Количество фазных проводов - 1 шт, сечение фазного провода - 95 мм2, тип провода - СИП-3</t>
  </si>
  <si>
    <t>Л7-05-3</t>
  </si>
  <si>
    <t xml:space="preserve">Сечение жилы 120 мм2, напряжение 6кВ  </t>
  </si>
  <si>
    <t>К1-01-1</t>
  </si>
  <si>
    <t>Ц2-42-7</t>
  </si>
  <si>
    <t>Напряжение 10 кВ</t>
  </si>
  <si>
    <t xml:space="preserve">Напряжение - 10 кВ,тип опор - все типы опор за исключением многогранных </t>
  </si>
  <si>
    <t xml:space="preserve">Напряжение - 10 кВ, тип опор и количество цепей - одноцепная, все типы опор за исключением многогранных </t>
  </si>
  <si>
    <t>Напряжение - 10 кВ, номинальный ток - 1000 А, номинальный ток напряжения - 20 кА</t>
  </si>
  <si>
    <t>Напряжение 6-20кВ</t>
  </si>
  <si>
    <t>Р5-01</t>
  </si>
  <si>
    <t>Мвар</t>
  </si>
  <si>
    <t>БСК(установка конденсаторная)</t>
  </si>
  <si>
    <t>Сечение жилы, 2,5 мм2</t>
  </si>
  <si>
    <t>Н3-02-2</t>
  </si>
  <si>
    <t>Сечение жилы, 1,5 мм2</t>
  </si>
  <si>
    <t>К3-06-1</t>
  </si>
  <si>
    <t xml:space="preserve">Сечение жилы 95мм2, алюминевая жила, 4 жилы </t>
  </si>
  <si>
    <t>Сечение жилы 120мм2, наряжение 10кВ</t>
  </si>
  <si>
    <t>К1-06-2</t>
  </si>
  <si>
    <t>Сечение жилы 520мм2, наряжение 10кВ</t>
  </si>
  <si>
    <t>Год раскрытия информации: 2023 год</t>
  </si>
  <si>
    <t>Э1-07-1</t>
  </si>
  <si>
    <t>Мощность кВА-400, количество трансформаторов - 1шт.</t>
  </si>
  <si>
    <t>Э1-08-1</t>
  </si>
  <si>
    <t>Мощность кВА-630, количество трансформаторов - 1шт.</t>
  </si>
  <si>
    <t>кв.м</t>
  </si>
  <si>
    <t>М3-02</t>
  </si>
  <si>
    <t>Вид покрытия- проезжая часть</t>
  </si>
  <si>
    <t>Затраты по УНЦ млн.руб. - 1,1 - 5,9</t>
  </si>
  <si>
    <t>Э3-10-1</t>
  </si>
  <si>
    <t>Мощность кВА-1250, количество трансформаторов - 1шт.</t>
  </si>
  <si>
    <t>И1 2-06</t>
  </si>
  <si>
    <t>Шкаф ТН 6-35 кВ</t>
  </si>
  <si>
    <t xml:space="preserve">Прочие шкафы (панели) </t>
  </si>
  <si>
    <t>П1-01</t>
  </si>
  <si>
    <t>Класс напряжения ПС 35/6 кВ</t>
  </si>
  <si>
    <t>Напряжения 10 кВ, ном. ток 1250А, ном ток отключ. 20 кА</t>
  </si>
  <si>
    <t>П6-04</t>
  </si>
  <si>
    <t>Л3-01-1</t>
  </si>
  <si>
    <t xml:space="preserve">Напряжение - 0,4 кВ, тип опор и количество цепей - одноцепная, все типы опор за исключением многогранных </t>
  </si>
  <si>
    <t>Замена отработавшей срок КТП 630 кВА (инв. №00003667) на новую СНТ Чистугаш (СМР, ввод - 2023 г.)</t>
  </si>
  <si>
    <t>Замена отработавшей срок КТП 400 кВА (инв. №00003668) на новую СНТ Чистугаш (СМР, ввод - 2023 г.)</t>
  </si>
  <si>
    <t>Приобретение пункта автоматического регулирования напряжения для ВЛ-10 кВ п. Усть-Серта (ввод - 2023 г.)</t>
  </si>
  <si>
    <t>Реконструкция подстанции 35/6 кВ  №6 в части замены РЗА (ПИР, СМР, ввод - 2023 г.)</t>
  </si>
  <si>
    <t>Реконструкции ПС 35/6кВ ПС №42 с заменой ВМ 35 кв, РЗА и вводных, секционных выключателей 6кВ(ПИР - 2023 г., СМР, ввод - 2024 г.)</t>
  </si>
  <si>
    <t>35/6</t>
  </si>
  <si>
    <t>Реконструкции ЗРУ-10 кВ,  ПС 110/10 кВ "Керамзитовая". Замена ячееки КРУ-10.(СМР, ПНР, ввод - 2023 г.)</t>
  </si>
  <si>
    <t>Строительство интеллектуальной системы учета электроэнергии СНТ "Чистугаш"(ПИР, СМР, ввод - 2023 г.)</t>
  </si>
  <si>
    <t>Л4-01-1</t>
  </si>
  <si>
    <t xml:space="preserve">Напряжение - 0,4кВ, тип опор и количество цепей - одноцепная, все типы опор за исключением многогранных </t>
  </si>
  <si>
    <t>Л7-24-2</t>
  </si>
  <si>
    <t>Количество фазных проводов - 3 шт, сечение фазного провода - 70 мм2, тип провода - СИП-2</t>
  </si>
  <si>
    <t>Реконструкция  ЛЭП 0,4 кВ "сектор Б" (инв. №00003663) с заменой деревянных опор и провода на марку СИП (ПИР, СМР, ввод - 2023г.)</t>
  </si>
  <si>
    <t>Реконструкция  ЛЭП 0,4 кВ "сектор В" (инв. №00003664) с заменой деревянных опор и провода на марку СИП (ПИР, СМР, ввод - 2023г.)</t>
  </si>
  <si>
    <t>Реконструкция  ЛЭП 0,4 кВ "сектор Г" (инв. №00003665) с заменой деревянных опор и провода на марку СИП (ПИР, СМР, ввод - 2023 г.)</t>
  </si>
  <si>
    <t>Реконструкция  ЛЭП 0,4 кВ "сектор Д" (инв. №00003666) с заменой деревянных опор и провода на марку СИП (ПИР, СМР, ввод - 2023 г.)</t>
  </si>
  <si>
    <t>Л7-28-2</t>
  </si>
  <si>
    <t>Количество фазных проводов - 3 шт, сечение фазного провода - 120 мм2, тип провода - СИП-2</t>
  </si>
  <si>
    <t>Строительство ЛЭП 6 кВ от опоры ЛЭП 6 кВ ф.6-18 Н ПС 110/6 кВ №37
 (ПИР, СМР - 2023 г.)</t>
  </si>
  <si>
    <t>Затраты по УНЦ, млн. руб</t>
  </si>
  <si>
    <t>Количество фазных проводов - 1 шт, сечение фазного провода -70 мм2, тип провода - СИП-3</t>
  </si>
  <si>
    <t>Л1-02-1</t>
  </si>
  <si>
    <t>Ц2-42-2</t>
  </si>
  <si>
    <t>10/0,4</t>
  </si>
  <si>
    <t>Строительство двух ЛЭП 10 кВ от линейных ячеек РУ 10 кВ ПС 110 кВ Керамзитовая (ПИР, СМР - 2023 г.)</t>
  </si>
  <si>
    <t xml:space="preserve">Напряжение - 6-20 кВ,тип опор - все типы опор за исключением многогранных </t>
  </si>
  <si>
    <t>Л1-02-2</t>
  </si>
  <si>
    <t>Количество фазных проводов - 1 шт, сечение фазного провода -95 мм2, тип провода - СИП-3</t>
  </si>
  <si>
    <t>Сечение жилы 150 мм.,напряжение 10 кВ</t>
  </si>
  <si>
    <t>Расчистка кустарников и мелколесья, вырубка деревьев с диаметром ствола до 11 см. 12 см и более с корчевкой пней</t>
  </si>
  <si>
    <t>Л3-02-2</t>
  </si>
  <si>
    <t>Напряжение - 6-20 кВ,тип опор - все типы опор за исключением многогранных, двухцепная</t>
  </si>
  <si>
    <t>Строительство интеллектуальной системы учета электроэнергии коттеджного поселка "Журавлевы горы" (ПИР - 2021 г., СМР, ввод - 2023 г.)</t>
  </si>
  <si>
    <t>Строительство двух  ЛЭП 6кВ от линейных ячеек РУ 6 кВ ПС 35 кВ "Горная"  (ПИР, СМР, ввод - 2022 г.)</t>
  </si>
  <si>
    <t>Л2-02-1</t>
  </si>
  <si>
    <t>Л7-07-3</t>
  </si>
  <si>
    <t>К1-06-1</t>
  </si>
  <si>
    <t xml:space="preserve">Сечение жилы 150 мм2, напряжение 6кВ  </t>
  </si>
  <si>
    <t>Дефлятор:
2019г. от 30.09.2020г.
2020 г. от 26.09.2020г., 
2021 г. - 2024 г. от 28.09.2022г.</t>
  </si>
  <si>
    <t>Устройство маслоприемников, маслоотводов и маслосборников закрытого типа на ПС 35/6 кВ № 41 для трансформаторов силовых ТДНС-10000/35 УХЛ1 (инв. №№ 00002126; 0002127). (ПИР, СМР, ввод - 2023 г.)</t>
  </si>
  <si>
    <t>Количество фазных проводов - 2 шт, сечение фазного провода - 16 мм2, тип провода - СИП-2</t>
  </si>
  <si>
    <t>Л7-15-2</t>
  </si>
  <si>
    <t>Количество фазных проводов - 3 шт, сечение фазного провода - 16 мм2, тип провода - СИП-2</t>
  </si>
  <si>
    <t>Количество фазных проводов - 2 шт, сечение фазного провода - 16 мм2, тип провода - СИП-4</t>
  </si>
  <si>
    <t>Л7-11-4</t>
  </si>
  <si>
    <t>Количество фазных проводов - 3 шт, сечение фазного провода - 50 мм2, тип провода - СИП-2</t>
  </si>
  <si>
    <t>Л7-20-2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</si>
  <si>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</si>
  <si>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</si>
  <si>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</si>
  <si>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</si>
  <si>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</si>
  <si>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</si>
  <si>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</si>
  <si>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Чупахин, Евгений Валентинович, ГЕНЕРАЛЬНЫЙ ДИРЕКТОР, ООО ХК "СДС - ЭНЕРГО", ООО ХК "СДС - ЭНЕРГО", пр-кт Октябрьский, 53/2, оф 401, г. Кемерово, 42 Кемеровская Область - Кузбасс, RU, 420519249628, 1064250010241, 04613114514, 4250003450</t>
  </si>
  <si>
    <t>Издатель</t>
  </si>
  <si>
    <t>Федеральная налоговая служба, Федеральная налоговая служба, ул. Неглинная, д. 23, г. Москва, 77 Москва, RU, 1047707030513, uc@tax.gov.ru, 7707329152</t>
  </si>
  <si>
    <t>Серийный номер</t>
  </si>
  <si>
    <t>01740C4700A3AFC0B64D8218DDE29A4DF6</t>
  </si>
  <si>
    <t>Сертификат действителен с</t>
  </si>
  <si>
    <t>08.02.2023 11:08:41 UTC+07</t>
  </si>
  <si>
    <t>Сертификат действителен до</t>
  </si>
  <si>
    <t>08.05.2024 11:18:41 UTC+07</t>
  </si>
  <si>
    <t>Дата и время создания ЭП</t>
  </si>
  <si>
    <t>13.06.2023 10:36:52 UTC+07</t>
  </si>
  <si>
    <t>27.06.2023 11:10:15 UTC+07</t>
  </si>
  <si>
    <t>29.06.2023 13:10:34 UTC+07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</si>
</sst>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#,##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vertAlign val="subscript"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i/>
      <sz val="11"/>
      <name val="Symbol"/>
      <family val="1"/>
      <charset val="2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65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0" fillId="3" borderId="0" xfId="0" applyFill="1" applyAlignment="1"/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4" borderId="0" xfId="0" applyFill="1"/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3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/>
    <xf numFmtId="16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7" fillId="5" borderId="3" xfId="0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4" fontId="7" fillId="5" borderId="3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right" vertical="center"/>
    </xf>
    <xf numFmtId="0" fontId="14" fillId="5" borderId="0" xfId="0" applyFont="1" applyFill="1"/>
    <xf numFmtId="0" fontId="7" fillId="5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wrapText="1"/>
    </xf>
    <xf numFmtId="0" fontId="14" fillId="0" borderId="0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/>
    <xf numFmtId="165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5" borderId="6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vertical="center"/>
    </xf>
    <xf numFmtId="0" fontId="14" fillId="5" borderId="0" xfId="0" applyFont="1" applyFill="1" applyBorder="1"/>
    <xf numFmtId="0" fontId="7" fillId="5" borderId="4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/>
    </xf>
    <xf numFmtId="0" fontId="14" fillId="5" borderId="7" xfId="0" applyFont="1" applyFill="1" applyBorder="1"/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/>
    </xf>
    <xf numFmtId="165" fontId="7" fillId="5" borderId="3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right" vertical="center"/>
    </xf>
    <xf numFmtId="165" fontId="7" fillId="5" borderId="4" xfId="0" applyNumberFormat="1" applyFont="1" applyFill="1" applyBorder="1" applyAlignment="1">
      <alignment vertical="center"/>
    </xf>
    <xf numFmtId="0" fontId="14" fillId="6" borderId="0" xfId="0" applyFont="1" applyFill="1"/>
    <xf numFmtId="165" fontId="7" fillId="5" borderId="5" xfId="0" applyNumberFormat="1" applyFont="1" applyFill="1" applyBorder="1" applyAlignment="1">
      <alignment vertical="center"/>
    </xf>
    <xf numFmtId="165" fontId="7" fillId="5" borderId="6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167" fontId="14" fillId="0" borderId="0" xfId="0" applyNumberFormat="1" applyFont="1" applyFill="1"/>
    <xf numFmtId="165" fontId="14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/>
    <xf numFmtId="3" fontId="7" fillId="0" borderId="3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right" vertical="center"/>
    </xf>
    <xf numFmtId="3" fontId="7" fillId="5" borderId="5" xfId="0" applyNumberFormat="1" applyFont="1" applyFill="1" applyBorder="1" applyAlignment="1">
      <alignment horizontal="right" vertical="center"/>
    </xf>
    <xf numFmtId="3" fontId="7" fillId="5" borderId="6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1" fontId="7" fillId="5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166" fontId="7" fillId="5" borderId="4" xfId="0" applyNumberFormat="1" applyFont="1" applyFill="1" applyBorder="1" applyAlignment="1">
      <alignment horizontal="center" vertical="center"/>
    </xf>
    <xf numFmtId="166" fontId="7" fillId="5" borderId="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3">
    <cellStyle name="Обычный" xfId="0" builtinId="0"/>
    <cellStyle name="Обычный 7" xfId="1" xr:uid="{00000000-0005-0000-0000-000001000000}"/>
    <cellStyle name="Обычный 7 2" xfId="2" xr:uid="{00000000-0005-0000-0000-000002000000}"/>
  </cellStyles>
  <dxfs count="0"/>
  <tableStyles count="0" defaultTableStyle="TableStyleMedium2" defaultPivotStyle="PivotStyleMedium9"/>
  <colors>
    <mruColors>
      <color rgb="FFFFFF99"/>
      <color rgb="FF89E2F7"/>
      <color rgb="FF93FBAE"/>
      <color rgb="FF99FF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IE510~1.KIR\AppData\Local\Temp\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IE510~1.KIR\AppData\Local\Temp\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IE510~1.KIR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4692F04-EF34-42E1-8D34-45FAA32C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4C422A5D-667B-4E49-B2BC-38D1AA4D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1EBDECD5-5D90-43C4-B173-34CD0539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40" customWidth="1"/>
    <col min="3" max="3" width="9.7109375" customWidth="1"/>
    <col min="4" max="4" width="9.28515625" customWidth="1"/>
    <col min="5" max="6" width="12.7109375" customWidth="1"/>
    <col min="7" max="7" width="12" customWidth="1"/>
    <col min="8" max="8" width="11.5703125" customWidth="1"/>
    <col min="9" max="10" width="12.7109375" customWidth="1"/>
    <col min="11" max="11" width="15.42578125" customWidth="1"/>
    <col min="12" max="12" width="16.42578125" customWidth="1"/>
  </cols>
  <sheetData>
    <row r="1" spans="1:12" ht="49.5" customHeight="1" x14ac:dyDescent="0.25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2.5" customHeight="1" x14ac:dyDescent="0.25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2.5" customHeight="1" x14ac:dyDescent="0.25">
      <c r="A3" s="20"/>
      <c r="B3" s="20"/>
      <c r="C3" s="20"/>
      <c r="D3" s="20"/>
      <c r="E3" s="130" t="s">
        <v>19</v>
      </c>
      <c r="F3" s="131"/>
      <c r="G3" s="131"/>
      <c r="H3" s="131"/>
      <c r="I3" s="131"/>
      <c r="J3" s="20"/>
      <c r="K3" s="21"/>
      <c r="L3" s="20"/>
    </row>
    <row r="4" spans="1:12" ht="22.5" customHeight="1" x14ac:dyDescent="0.25">
      <c r="A4" s="15"/>
      <c r="B4" s="16"/>
      <c r="C4" s="16"/>
      <c r="D4" s="16"/>
      <c r="E4" s="16"/>
      <c r="F4" s="16"/>
      <c r="G4" s="16" t="s">
        <v>30</v>
      </c>
      <c r="H4" s="16"/>
      <c r="I4" s="16"/>
      <c r="J4" s="16"/>
      <c r="K4" s="16"/>
      <c r="L4" s="17" t="s">
        <v>10</v>
      </c>
    </row>
    <row r="5" spans="1:12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88.5" customHeight="1" x14ac:dyDescent="0.25">
      <c r="A6" s="18" t="s">
        <v>0</v>
      </c>
      <c r="B6" s="18" t="s">
        <v>1</v>
      </c>
      <c r="C6" s="18" t="s">
        <v>7</v>
      </c>
      <c r="D6" s="18" t="s">
        <v>14</v>
      </c>
      <c r="E6" s="18" t="s">
        <v>2</v>
      </c>
      <c r="F6" s="18" t="s">
        <v>15</v>
      </c>
      <c r="G6" s="18" t="s">
        <v>3</v>
      </c>
      <c r="H6" s="18" t="s">
        <v>4</v>
      </c>
      <c r="I6" s="18" t="s">
        <v>16</v>
      </c>
      <c r="J6" s="18" t="s">
        <v>17</v>
      </c>
      <c r="K6" s="18" t="s">
        <v>27</v>
      </c>
      <c r="L6" s="18" t="s">
        <v>26</v>
      </c>
    </row>
    <row r="7" spans="1:12" x14ac:dyDescent="0.25">
      <c r="A7" s="133">
        <v>1</v>
      </c>
      <c r="B7" s="135" t="s">
        <v>22</v>
      </c>
      <c r="C7" s="137">
        <v>5.12</v>
      </c>
      <c r="D7" s="141">
        <v>35</v>
      </c>
      <c r="E7" s="27" t="s">
        <v>20</v>
      </c>
      <c r="F7" s="22">
        <v>3</v>
      </c>
      <c r="G7" s="22">
        <f>F7/5*C7</f>
        <v>3.0720000000000001</v>
      </c>
      <c r="H7" s="139">
        <f t="shared" ref="H7" si="0">1.063*1.044*1.046</f>
        <v>1.1608215120000001</v>
      </c>
      <c r="I7" s="139">
        <f>SUM(G7:G8)*H7</f>
        <v>48.854798482636809</v>
      </c>
      <c r="J7" s="139">
        <f>SUM(G7:G8)*H7*1.18</f>
        <v>57.648662209511429</v>
      </c>
      <c r="K7" s="139">
        <f>I7*1.044</f>
        <v>51.004409615872831</v>
      </c>
      <c r="L7" s="139">
        <f>J7*1.044/1.18*1.2</f>
        <v>61.205291539047394</v>
      </c>
    </row>
    <row r="8" spans="1:12" ht="30" customHeight="1" x14ac:dyDescent="0.25">
      <c r="A8" s="134"/>
      <c r="B8" s="136"/>
      <c r="C8" s="138"/>
      <c r="D8" s="142"/>
      <c r="E8" s="27" t="s">
        <v>21</v>
      </c>
      <c r="F8" s="22">
        <v>7.62</v>
      </c>
      <c r="G8" s="22">
        <f>F8*C7</f>
        <v>39.014400000000002</v>
      </c>
      <c r="H8" s="140"/>
      <c r="I8" s="140"/>
      <c r="J8" s="140"/>
      <c r="K8" s="140"/>
      <c r="L8" s="140"/>
    </row>
    <row r="9" spans="1:12" x14ac:dyDescent="0.25">
      <c r="A9" s="133">
        <v>2</v>
      </c>
      <c r="B9" s="135" t="s">
        <v>23</v>
      </c>
      <c r="C9" s="137">
        <v>12.57</v>
      </c>
      <c r="D9" s="141">
        <v>110</v>
      </c>
      <c r="E9" s="28" t="s">
        <v>25</v>
      </c>
      <c r="F9" s="22">
        <v>21</v>
      </c>
      <c r="G9" s="22">
        <f>F9/30*C9</f>
        <v>8.7989999999999995</v>
      </c>
      <c r="H9" s="139">
        <f t="shared" ref="H9" si="1">1.063*1.044*1.046</f>
        <v>1.1608215120000001</v>
      </c>
      <c r="I9" s="139">
        <f>SUM(G9:G10)*H9</f>
        <v>146.29464374495186</v>
      </c>
      <c r="J9" s="139">
        <f>SUM(G9:G10)*H9*1.18</f>
        <v>172.62767961904319</v>
      </c>
      <c r="K9" s="139">
        <f>I9*1.044</f>
        <v>152.73160806972973</v>
      </c>
      <c r="L9" s="139">
        <f>J9*1.044/1.18*1.2</f>
        <v>183.27792968367567</v>
      </c>
    </row>
    <row r="10" spans="1:12" ht="24" customHeight="1" x14ac:dyDescent="0.25">
      <c r="A10" s="143"/>
      <c r="B10" s="144"/>
      <c r="C10" s="145"/>
      <c r="D10" s="146"/>
      <c r="E10" s="28" t="s">
        <v>24</v>
      </c>
      <c r="F10" s="22">
        <v>9.3260000000000005</v>
      </c>
      <c r="G10" s="22">
        <f>F10*C9</f>
        <v>117.22782000000001</v>
      </c>
      <c r="H10" s="147"/>
      <c r="I10" s="140"/>
      <c r="J10" s="140"/>
      <c r="K10" s="140"/>
      <c r="L10" s="140"/>
    </row>
    <row r="11" spans="1:12" ht="15.75" x14ac:dyDescent="0.25">
      <c r="A11" s="23"/>
      <c r="B11" s="23"/>
      <c r="C11" s="23"/>
      <c r="D11" s="23"/>
      <c r="E11" s="23"/>
      <c r="F11" s="23"/>
      <c r="G11" s="23"/>
      <c r="H11" s="24" t="s">
        <v>8</v>
      </c>
      <c r="I11" s="25">
        <f>I7+I9</f>
        <v>195.14944222758868</v>
      </c>
      <c r="J11" s="25">
        <f t="shared" ref="J11:L11" si="2">J7+J9</f>
        <v>230.27634182855462</v>
      </c>
      <c r="K11" s="25">
        <f t="shared" si="2"/>
        <v>203.73601768560258</v>
      </c>
      <c r="L11" s="25">
        <f t="shared" si="2"/>
        <v>244.48322122272305</v>
      </c>
    </row>
    <row r="12" spans="1:12" ht="36.75" hidden="1" customHeight="1" x14ac:dyDescent="0.25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19" t="s">
        <v>29</v>
      </c>
      <c r="K12" s="19"/>
    </row>
    <row r="14" spans="1:12" x14ac:dyDescent="0.25">
      <c r="J14" s="26"/>
      <c r="L14" s="26"/>
    </row>
    <row r="15" spans="1:12" x14ac:dyDescent="0.25">
      <c r="K15" s="26"/>
    </row>
  </sheetData>
  <mergeCells count="22">
    <mergeCell ref="I9:I10"/>
    <mergeCell ref="J9:J10"/>
    <mergeCell ref="K9:K10"/>
    <mergeCell ref="L9:L10"/>
    <mergeCell ref="A9:A10"/>
    <mergeCell ref="B9:B10"/>
    <mergeCell ref="C9:C10"/>
    <mergeCell ref="D9:D10"/>
    <mergeCell ref="H9:H10"/>
    <mergeCell ref="A1:L1"/>
    <mergeCell ref="A2:L2"/>
    <mergeCell ref="E3:I3"/>
    <mergeCell ref="A5:L5"/>
    <mergeCell ref="A7:A8"/>
    <mergeCell ref="B7:B8"/>
    <mergeCell ref="C7:C8"/>
    <mergeCell ref="L7:L8"/>
    <mergeCell ref="D7:D8"/>
    <mergeCell ref="H7:H8"/>
    <mergeCell ref="I7:I8"/>
    <mergeCell ref="J7:J8"/>
    <mergeCell ref="K7:K8"/>
  </mergeCells>
  <pageMargins left="0.31496062992125984" right="0.31496062992125984" top="0.35433070866141736" bottom="0.35433070866141736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F35" sqref="F35"/>
    </sheetView>
  </sheetViews>
  <sheetFormatPr defaultRowHeight="15" x14ac:dyDescent="0.25"/>
  <cols>
    <col min="3" max="3" width="30" customWidth="1"/>
    <col min="4" max="4" width="10.42578125" customWidth="1"/>
    <col min="5" max="5" width="11.28515625" customWidth="1"/>
    <col min="6" max="6" width="13.28515625" customWidth="1"/>
    <col min="7" max="7" width="27.42578125" customWidth="1"/>
    <col min="8" max="8" width="19.5703125" customWidth="1"/>
    <col min="9" max="9" width="22.5703125" customWidth="1"/>
    <col min="10" max="10" width="14.85546875" customWidth="1"/>
  </cols>
  <sheetData>
    <row r="1" spans="1:11" x14ac:dyDescent="0.25">
      <c r="A1" s="5"/>
      <c r="B1" s="148" t="s">
        <v>13</v>
      </c>
      <c r="C1" s="148"/>
      <c r="D1" s="148"/>
      <c r="E1" s="148"/>
      <c r="F1" s="148"/>
      <c r="G1" s="148"/>
      <c r="H1" s="148"/>
      <c r="I1" s="148"/>
      <c r="J1" s="148"/>
      <c r="K1" s="8"/>
    </row>
    <row r="2" spans="1:11" x14ac:dyDescent="0.25">
      <c r="A2" s="5"/>
      <c r="B2" s="149"/>
      <c r="C2" s="149"/>
      <c r="D2" s="149"/>
      <c r="E2" s="149"/>
      <c r="F2" s="149"/>
      <c r="G2" s="149"/>
      <c r="H2" s="149"/>
      <c r="I2" s="149"/>
      <c r="J2" s="149"/>
      <c r="K2" s="9"/>
    </row>
    <row r="3" spans="1:11" ht="15.75" thickBot="1" x14ac:dyDescent="0.3">
      <c r="A3" s="5"/>
      <c r="B3" s="7" t="s">
        <v>0</v>
      </c>
      <c r="C3" s="7" t="s">
        <v>1</v>
      </c>
      <c r="D3" s="7" t="s">
        <v>7</v>
      </c>
      <c r="E3" s="7" t="s">
        <v>2</v>
      </c>
      <c r="F3" s="7" t="s">
        <v>9</v>
      </c>
      <c r="G3" s="7" t="s">
        <v>3</v>
      </c>
      <c r="H3" s="7" t="s">
        <v>4</v>
      </c>
      <c r="I3" s="7" t="s">
        <v>5</v>
      </c>
      <c r="J3" s="7" t="s">
        <v>6</v>
      </c>
      <c r="K3" s="5"/>
    </row>
    <row r="4" spans="1:11" ht="15.75" thickBot="1" x14ac:dyDescent="0.3">
      <c r="A4" s="5"/>
      <c r="B4" s="10">
        <v>1</v>
      </c>
      <c r="C4" s="2"/>
      <c r="D4" s="1"/>
      <c r="E4" s="2"/>
      <c r="F4" s="1"/>
      <c r="G4" s="11">
        <f>D4*F4</f>
        <v>0</v>
      </c>
      <c r="H4" s="2">
        <v>1.0756756756756756</v>
      </c>
      <c r="I4" s="11">
        <f>G4*H4</f>
        <v>0</v>
      </c>
      <c r="J4" s="11">
        <f>I4*1.18</f>
        <v>0</v>
      </c>
      <c r="K4" s="5"/>
    </row>
    <row r="5" spans="1:11" ht="15.75" thickBot="1" x14ac:dyDescent="0.3">
      <c r="A5" s="5"/>
      <c r="B5" s="10">
        <f>B4+1</f>
        <v>2</v>
      </c>
      <c r="C5" s="2"/>
      <c r="D5" s="1"/>
      <c r="E5" s="2"/>
      <c r="F5" s="1"/>
      <c r="G5" s="11">
        <f t="shared" ref="G5:G11" si="0">D5*F5</f>
        <v>0</v>
      </c>
      <c r="H5" s="2">
        <v>1.0756756756756756</v>
      </c>
      <c r="I5" s="11">
        <f t="shared" ref="I5:I11" si="1">G5*H5</f>
        <v>0</v>
      </c>
      <c r="J5" s="11">
        <f t="shared" ref="J5:J11" si="2">I5*1.18</f>
        <v>0</v>
      </c>
      <c r="K5" s="5"/>
    </row>
    <row r="6" spans="1:11" ht="15.75" thickBot="1" x14ac:dyDescent="0.3">
      <c r="A6" s="5"/>
      <c r="B6" s="10">
        <f t="shared" ref="B6:B11" si="3">B5+1</f>
        <v>3</v>
      </c>
      <c r="C6" s="2"/>
      <c r="D6" s="1"/>
      <c r="E6" s="2"/>
      <c r="F6" s="1"/>
      <c r="G6" s="11">
        <f t="shared" si="0"/>
        <v>0</v>
      </c>
      <c r="H6" s="2">
        <v>1.0756756756756756</v>
      </c>
      <c r="I6" s="11">
        <f t="shared" si="1"/>
        <v>0</v>
      </c>
      <c r="J6" s="11">
        <f t="shared" si="2"/>
        <v>0</v>
      </c>
      <c r="K6" s="5"/>
    </row>
    <row r="7" spans="1:11" ht="15.75" thickBot="1" x14ac:dyDescent="0.3">
      <c r="A7" s="5"/>
      <c r="B7" s="10">
        <f t="shared" si="3"/>
        <v>4</v>
      </c>
      <c r="C7" s="2"/>
      <c r="D7" s="1"/>
      <c r="E7" s="2"/>
      <c r="F7" s="1"/>
      <c r="G7" s="11">
        <f t="shared" si="0"/>
        <v>0</v>
      </c>
      <c r="H7" s="2">
        <v>1.0756756756756756</v>
      </c>
      <c r="I7" s="11">
        <f t="shared" si="1"/>
        <v>0</v>
      </c>
      <c r="J7" s="11">
        <f t="shared" si="2"/>
        <v>0</v>
      </c>
      <c r="K7" s="5"/>
    </row>
    <row r="8" spans="1:11" ht="15.75" thickBot="1" x14ac:dyDescent="0.3">
      <c r="A8" s="5"/>
      <c r="B8" s="10">
        <f t="shared" si="3"/>
        <v>5</v>
      </c>
      <c r="C8" s="2"/>
      <c r="D8" s="1"/>
      <c r="E8" s="2"/>
      <c r="F8" s="1"/>
      <c r="G8" s="11">
        <f t="shared" si="0"/>
        <v>0</v>
      </c>
      <c r="H8" s="2">
        <v>1.0756756756756756</v>
      </c>
      <c r="I8" s="11">
        <f t="shared" si="1"/>
        <v>0</v>
      </c>
      <c r="J8" s="11">
        <f t="shared" si="2"/>
        <v>0</v>
      </c>
      <c r="K8" s="5"/>
    </row>
    <row r="9" spans="1:11" ht="15.75" thickBot="1" x14ac:dyDescent="0.3">
      <c r="A9" s="5"/>
      <c r="B9" s="10">
        <f t="shared" si="3"/>
        <v>6</v>
      </c>
      <c r="C9" s="2"/>
      <c r="D9" s="1"/>
      <c r="E9" s="2"/>
      <c r="F9" s="1"/>
      <c r="G9" s="11">
        <f t="shared" si="0"/>
        <v>0</v>
      </c>
      <c r="H9" s="2">
        <v>1.0756756756756756</v>
      </c>
      <c r="I9" s="11">
        <f t="shared" si="1"/>
        <v>0</v>
      </c>
      <c r="J9" s="11">
        <f t="shared" si="2"/>
        <v>0</v>
      </c>
      <c r="K9" s="5"/>
    </row>
    <row r="10" spans="1:11" ht="15.75" thickBot="1" x14ac:dyDescent="0.3">
      <c r="A10" s="5"/>
      <c r="B10" s="10">
        <f t="shared" si="3"/>
        <v>7</v>
      </c>
      <c r="C10" s="2"/>
      <c r="D10" s="1"/>
      <c r="E10" s="2"/>
      <c r="F10" s="1"/>
      <c r="G10" s="11">
        <f t="shared" si="0"/>
        <v>0</v>
      </c>
      <c r="H10" s="2">
        <v>1.0756756756756756</v>
      </c>
      <c r="I10" s="11">
        <f t="shared" si="1"/>
        <v>0</v>
      </c>
      <c r="J10" s="11">
        <f t="shared" si="2"/>
        <v>0</v>
      </c>
      <c r="K10" s="5"/>
    </row>
    <row r="11" spans="1:11" ht="15.75" thickBot="1" x14ac:dyDescent="0.3">
      <c r="A11" s="5"/>
      <c r="B11" s="10">
        <f t="shared" si="3"/>
        <v>8</v>
      </c>
      <c r="C11" s="2"/>
      <c r="D11" s="1"/>
      <c r="E11" s="2"/>
      <c r="F11" s="1"/>
      <c r="G11" s="11">
        <f t="shared" si="0"/>
        <v>0</v>
      </c>
      <c r="H11" s="2">
        <v>1.0756756756756756</v>
      </c>
      <c r="I11" s="11">
        <f t="shared" si="1"/>
        <v>0</v>
      </c>
      <c r="J11" s="11">
        <f t="shared" si="2"/>
        <v>0</v>
      </c>
      <c r="K11" s="5"/>
    </row>
    <row r="12" spans="1:11" ht="16.5" thickBot="1" x14ac:dyDescent="0.3">
      <c r="A12" s="5"/>
      <c r="B12" s="150"/>
      <c r="C12" s="150"/>
      <c r="D12" s="150"/>
      <c r="E12" s="150"/>
      <c r="F12" s="150"/>
      <c r="G12" s="150"/>
      <c r="H12" s="150"/>
      <c r="I12" s="6" t="s">
        <v>8</v>
      </c>
      <c r="J12" s="12">
        <f>J4+J5+J6+J7+J8+J9+J10+J11</f>
        <v>0</v>
      </c>
      <c r="K12" s="7" t="s">
        <v>10</v>
      </c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x14ac:dyDescent="0.25">
      <c r="A15" s="14"/>
      <c r="B15" s="4" t="s">
        <v>11</v>
      </c>
    </row>
    <row r="17" spans="1:2" x14ac:dyDescent="0.25">
      <c r="A17" s="13"/>
      <c r="B17" s="3" t="s">
        <v>12</v>
      </c>
    </row>
  </sheetData>
  <mergeCells count="3">
    <mergeCell ref="B1:J1"/>
    <mergeCell ref="B2:J2"/>
    <mergeCell ref="B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253"/>
  <sheetViews>
    <sheetView view="pageBreakPreview" zoomScale="60" zoomScaleNormal="100" workbookViewId="0">
      <pane xSplit="3" ySplit="8" topLeftCell="O161" activePane="bottomRight" state="frozen"/>
      <selection activeCell="A5" sqref="A5"/>
      <selection pane="topRight" activeCell="D5" sqref="D5"/>
      <selection pane="bottomLeft" activeCell="A9" sqref="A9"/>
      <selection pane="bottomRight" activeCell="AE202" sqref="AE202:AF207"/>
    </sheetView>
  </sheetViews>
  <sheetFormatPr defaultRowHeight="15" x14ac:dyDescent="0.25"/>
  <cols>
    <col min="1" max="1" width="7" style="34" customWidth="1"/>
    <col min="2" max="2" width="34" style="75" customWidth="1"/>
    <col min="3" max="3" width="14" style="34" customWidth="1"/>
    <col min="4" max="4" width="11.42578125" style="34" customWidth="1"/>
    <col min="5" max="5" width="13" style="34" customWidth="1"/>
    <col min="6" max="6" width="11.7109375" style="34" customWidth="1"/>
    <col min="7" max="7" width="23.140625" style="34" customWidth="1"/>
    <col min="8" max="8" width="14.5703125" style="34" customWidth="1"/>
    <col min="9" max="9" width="13.7109375" style="34" customWidth="1"/>
    <col min="10" max="10" width="11.5703125" style="34" customWidth="1"/>
    <col min="11" max="11" width="10.85546875" style="34" customWidth="1"/>
    <col min="12" max="12" width="13.5703125" style="34" customWidth="1"/>
    <col min="13" max="13" width="28.140625" style="34" customWidth="1"/>
    <col min="14" max="14" width="12.5703125" style="34" customWidth="1"/>
    <col min="15" max="15" width="19.7109375" style="34" customWidth="1"/>
    <col min="16" max="16" width="28.7109375" style="34" customWidth="1"/>
    <col min="17" max="17" width="21.5703125" style="34" customWidth="1"/>
    <col min="18" max="23" width="6.85546875" style="34" customWidth="1"/>
    <col min="24" max="24" width="12.85546875" style="108" customWidth="1"/>
    <col min="25" max="25" width="13.140625" style="108" customWidth="1"/>
    <col min="26" max="29" width="14.140625" style="108" customWidth="1"/>
    <col min="30" max="30" width="19.28515625" style="108" customWidth="1"/>
    <col min="31" max="31" width="26.5703125" style="108" customWidth="1"/>
    <col min="32" max="32" width="17.28515625" style="108" customWidth="1"/>
    <col min="33" max="38" width="7" style="34" customWidth="1"/>
    <col min="39" max="39" width="11.140625" style="108" customWidth="1"/>
    <col min="40" max="40" width="12.28515625" style="108" customWidth="1"/>
    <col min="41" max="41" width="14.7109375" style="108" customWidth="1"/>
    <col min="42" max="44" width="14.5703125" style="108" customWidth="1"/>
    <col min="45" max="45" width="23.28515625" style="108" hidden="1" customWidth="1"/>
    <col min="46" max="46" width="19" style="108" hidden="1" customWidth="1"/>
    <col min="47" max="49" width="8.85546875" style="110" hidden="1" customWidth="1"/>
    <col min="50" max="50" width="11.85546875" style="108" hidden="1" customWidth="1"/>
    <col min="51" max="51" width="13.140625" style="108" hidden="1" customWidth="1"/>
    <col min="52" max="52" width="15.28515625" style="108" hidden="1" customWidth="1"/>
    <col min="53" max="53" width="18" style="111" hidden="1" customWidth="1"/>
    <col min="54" max="55" width="0" style="34" hidden="1" customWidth="1"/>
    <col min="56" max="16384" width="9.140625" style="34"/>
  </cols>
  <sheetData>
    <row r="1" spans="1:55" s="59" customFormat="1" ht="66.75" customHeight="1" x14ac:dyDescent="0.3">
      <c r="A1" s="230" t="s">
        <v>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</row>
    <row r="2" spans="1:55" s="59" customFormat="1" ht="18.75" x14ac:dyDescent="0.3">
      <c r="A2" s="230" t="s">
        <v>203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</row>
    <row r="3" spans="1:55" s="59" customFormat="1" ht="18.75" x14ac:dyDescent="0.3">
      <c r="A3" s="230" t="s">
        <v>289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</row>
    <row r="4" spans="1:55" ht="28.5" customHeight="1" x14ac:dyDescent="0.25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63"/>
      <c r="M4" s="62"/>
      <c r="N4" s="62"/>
      <c r="O4" s="64"/>
      <c r="P4" s="64"/>
      <c r="Q4" s="64"/>
      <c r="R4" s="65"/>
      <c r="S4" s="65"/>
      <c r="T4" s="65"/>
      <c r="U4" s="65"/>
      <c r="V4" s="66"/>
      <c r="W4" s="65"/>
      <c r="X4" s="219"/>
      <c r="Y4" s="219"/>
      <c r="Z4" s="219"/>
      <c r="AA4" s="67"/>
      <c r="AB4" s="67"/>
      <c r="AC4" s="67"/>
      <c r="AD4" s="67"/>
      <c r="AE4" s="67"/>
      <c r="AF4" s="67"/>
      <c r="AG4" s="68"/>
      <c r="AH4" s="68"/>
      <c r="AI4" s="68"/>
      <c r="AJ4" s="68"/>
      <c r="AK4" s="68"/>
      <c r="AL4" s="68"/>
      <c r="AM4" s="67"/>
      <c r="AN4" s="67"/>
      <c r="AO4" s="67"/>
      <c r="AP4" s="67"/>
      <c r="AQ4" s="67"/>
      <c r="AR4" s="67"/>
      <c r="AS4" s="67" t="s">
        <v>256</v>
      </c>
      <c r="AT4" s="66"/>
      <c r="AU4" s="69" t="s">
        <v>257</v>
      </c>
      <c r="AV4" s="69"/>
      <c r="AW4" s="69"/>
      <c r="AX4" s="220"/>
      <c r="AY4" s="220"/>
      <c r="AZ4" s="220"/>
      <c r="BA4" s="70"/>
    </row>
    <row r="5" spans="1:55" ht="31.5" customHeight="1" x14ac:dyDescent="0.25">
      <c r="A5" s="217" t="s">
        <v>0</v>
      </c>
      <c r="B5" s="217" t="s">
        <v>32</v>
      </c>
      <c r="C5" s="217" t="s">
        <v>14</v>
      </c>
      <c r="D5" s="217" t="s">
        <v>2</v>
      </c>
      <c r="E5" s="217" t="s">
        <v>78</v>
      </c>
      <c r="F5" s="217" t="s">
        <v>77</v>
      </c>
      <c r="G5" s="217" t="s">
        <v>76</v>
      </c>
      <c r="H5" s="217" t="s">
        <v>79</v>
      </c>
      <c r="I5" s="217" t="s">
        <v>80</v>
      </c>
      <c r="J5" s="228" t="s">
        <v>35</v>
      </c>
      <c r="K5" s="228"/>
      <c r="L5" s="217" t="s">
        <v>173</v>
      </c>
      <c r="M5" s="201" t="s">
        <v>171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 t="s">
        <v>172</v>
      </c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38" t="s">
        <v>202</v>
      </c>
      <c r="AT5" s="239"/>
      <c r="AU5" s="239"/>
      <c r="AV5" s="239"/>
      <c r="AW5" s="239"/>
      <c r="AX5" s="239"/>
      <c r="AY5" s="239"/>
      <c r="AZ5" s="240"/>
      <c r="BA5" s="233" t="s">
        <v>148</v>
      </c>
    </row>
    <row r="6" spans="1:55" ht="135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8"/>
      <c r="K6" s="228"/>
      <c r="L6" s="224"/>
      <c r="M6" s="217" t="s">
        <v>83</v>
      </c>
      <c r="N6" s="217" t="s">
        <v>82</v>
      </c>
      <c r="O6" s="217" t="s">
        <v>84</v>
      </c>
      <c r="P6" s="217" t="s">
        <v>16</v>
      </c>
      <c r="Q6" s="231" t="s">
        <v>85</v>
      </c>
      <c r="R6" s="225" t="s">
        <v>174</v>
      </c>
      <c r="S6" s="226"/>
      <c r="T6" s="226"/>
      <c r="U6" s="226"/>
      <c r="V6" s="226"/>
      <c r="W6" s="227"/>
      <c r="X6" s="229" t="s">
        <v>146</v>
      </c>
      <c r="Y6" s="229"/>
      <c r="Z6" s="229"/>
      <c r="AA6" s="229"/>
      <c r="AB6" s="229"/>
      <c r="AC6" s="229"/>
      <c r="AD6" s="233" t="s">
        <v>84</v>
      </c>
      <c r="AE6" s="233" t="s">
        <v>16</v>
      </c>
      <c r="AF6" s="235" t="s">
        <v>85</v>
      </c>
      <c r="AG6" s="228" t="s">
        <v>347</v>
      </c>
      <c r="AH6" s="228"/>
      <c r="AI6" s="228"/>
      <c r="AJ6" s="228"/>
      <c r="AK6" s="228"/>
      <c r="AL6" s="228"/>
      <c r="AM6" s="229" t="s">
        <v>146</v>
      </c>
      <c r="AN6" s="229"/>
      <c r="AO6" s="229"/>
      <c r="AP6" s="229"/>
      <c r="AQ6" s="229"/>
      <c r="AR6" s="229"/>
      <c r="AS6" s="233" t="s">
        <v>86</v>
      </c>
      <c r="AT6" s="233" t="s">
        <v>147</v>
      </c>
      <c r="AU6" s="221" t="s">
        <v>251</v>
      </c>
      <c r="AV6" s="222"/>
      <c r="AW6" s="223"/>
      <c r="AX6" s="229" t="s">
        <v>146</v>
      </c>
      <c r="AY6" s="229"/>
      <c r="AZ6" s="229"/>
      <c r="BA6" s="237"/>
      <c r="BC6" s="71"/>
    </row>
    <row r="7" spans="1:55" ht="24" customHeight="1" x14ac:dyDescent="0.25">
      <c r="A7" s="218"/>
      <c r="B7" s="218"/>
      <c r="C7" s="218"/>
      <c r="D7" s="218"/>
      <c r="E7" s="218"/>
      <c r="F7" s="218"/>
      <c r="G7" s="218"/>
      <c r="H7" s="218"/>
      <c r="I7" s="218"/>
      <c r="J7" s="45" t="s">
        <v>218</v>
      </c>
      <c r="K7" s="44" t="s">
        <v>219</v>
      </c>
      <c r="L7" s="218"/>
      <c r="M7" s="218"/>
      <c r="N7" s="218"/>
      <c r="O7" s="218"/>
      <c r="P7" s="218"/>
      <c r="Q7" s="232"/>
      <c r="R7" s="29">
        <v>2019</v>
      </c>
      <c r="S7" s="29">
        <v>2020</v>
      </c>
      <c r="T7" s="29">
        <v>2021</v>
      </c>
      <c r="U7" s="29">
        <v>2022</v>
      </c>
      <c r="V7" s="29">
        <v>2023</v>
      </c>
      <c r="W7" s="29">
        <v>2024</v>
      </c>
      <c r="X7" s="30">
        <v>2019</v>
      </c>
      <c r="Y7" s="30">
        <v>2020</v>
      </c>
      <c r="Z7" s="30">
        <v>2021</v>
      </c>
      <c r="AA7" s="30">
        <v>2022</v>
      </c>
      <c r="AB7" s="30">
        <v>2023</v>
      </c>
      <c r="AC7" s="30">
        <v>2024</v>
      </c>
      <c r="AD7" s="234"/>
      <c r="AE7" s="234"/>
      <c r="AF7" s="236"/>
      <c r="AG7" s="49">
        <v>2019</v>
      </c>
      <c r="AH7" s="49">
        <v>2020</v>
      </c>
      <c r="AI7" s="49">
        <v>2021</v>
      </c>
      <c r="AJ7" s="49">
        <v>2022</v>
      </c>
      <c r="AK7" s="49">
        <v>2023</v>
      </c>
      <c r="AL7" s="49">
        <v>2024</v>
      </c>
      <c r="AM7" s="30">
        <v>2019</v>
      </c>
      <c r="AN7" s="30">
        <v>2020</v>
      </c>
      <c r="AO7" s="30">
        <v>2021</v>
      </c>
      <c r="AP7" s="30">
        <v>2022</v>
      </c>
      <c r="AQ7" s="30">
        <v>2023</v>
      </c>
      <c r="AR7" s="30">
        <v>2024</v>
      </c>
      <c r="AS7" s="234"/>
      <c r="AT7" s="234"/>
      <c r="AU7" s="30">
        <v>2019</v>
      </c>
      <c r="AV7" s="30">
        <v>2020</v>
      </c>
      <c r="AW7" s="30">
        <v>2021</v>
      </c>
      <c r="AX7" s="30">
        <v>2019</v>
      </c>
      <c r="AY7" s="30">
        <v>2020</v>
      </c>
      <c r="AZ7" s="30">
        <v>2021</v>
      </c>
      <c r="BA7" s="234"/>
    </row>
    <row r="8" spans="1:55" s="75" customFormat="1" ht="24" customHeight="1" x14ac:dyDescent="0.25">
      <c r="A8" s="42">
        <v>1</v>
      </c>
      <c r="B8" s="42">
        <v>2</v>
      </c>
      <c r="C8" s="42">
        <v>3</v>
      </c>
      <c r="D8" s="42">
        <v>4</v>
      </c>
      <c r="E8" s="72">
        <v>5</v>
      </c>
      <c r="F8" s="42">
        <f>E8+1</f>
        <v>6</v>
      </c>
      <c r="G8" s="42">
        <f t="shared" ref="G8:BA8" si="0">F8+1</f>
        <v>7</v>
      </c>
      <c r="H8" s="42">
        <f t="shared" si="0"/>
        <v>8</v>
      </c>
      <c r="I8" s="42">
        <f t="shared" si="0"/>
        <v>9</v>
      </c>
      <c r="J8" s="42">
        <f t="shared" si="0"/>
        <v>10</v>
      </c>
      <c r="K8" s="42">
        <f t="shared" si="0"/>
        <v>11</v>
      </c>
      <c r="L8" s="42">
        <f t="shared" si="0"/>
        <v>12</v>
      </c>
      <c r="M8" s="42">
        <f t="shared" si="0"/>
        <v>13</v>
      </c>
      <c r="N8" s="42">
        <f t="shared" si="0"/>
        <v>14</v>
      </c>
      <c r="O8" s="42">
        <f t="shared" si="0"/>
        <v>15</v>
      </c>
      <c r="P8" s="42">
        <f t="shared" si="0"/>
        <v>16</v>
      </c>
      <c r="Q8" s="42">
        <f t="shared" si="0"/>
        <v>17</v>
      </c>
      <c r="R8" s="42">
        <f t="shared" si="0"/>
        <v>18</v>
      </c>
      <c r="S8" s="42">
        <f t="shared" si="0"/>
        <v>19</v>
      </c>
      <c r="T8" s="42">
        <f t="shared" si="0"/>
        <v>20</v>
      </c>
      <c r="U8" s="42">
        <f t="shared" si="0"/>
        <v>21</v>
      </c>
      <c r="V8" s="42">
        <f t="shared" si="0"/>
        <v>22</v>
      </c>
      <c r="W8" s="42">
        <f t="shared" si="0"/>
        <v>23</v>
      </c>
      <c r="X8" s="73">
        <f t="shared" si="0"/>
        <v>24</v>
      </c>
      <c r="Y8" s="73">
        <f t="shared" si="0"/>
        <v>25</v>
      </c>
      <c r="Z8" s="73">
        <f t="shared" si="0"/>
        <v>26</v>
      </c>
      <c r="AA8" s="73">
        <f t="shared" si="0"/>
        <v>27</v>
      </c>
      <c r="AB8" s="73">
        <f t="shared" si="0"/>
        <v>28</v>
      </c>
      <c r="AC8" s="73">
        <f t="shared" si="0"/>
        <v>29</v>
      </c>
      <c r="AD8" s="73">
        <f t="shared" si="0"/>
        <v>30</v>
      </c>
      <c r="AE8" s="73">
        <f t="shared" si="0"/>
        <v>31</v>
      </c>
      <c r="AF8" s="73">
        <f t="shared" si="0"/>
        <v>32</v>
      </c>
      <c r="AG8" s="42">
        <f t="shared" si="0"/>
        <v>33</v>
      </c>
      <c r="AH8" s="42">
        <f t="shared" si="0"/>
        <v>34</v>
      </c>
      <c r="AI8" s="42">
        <f t="shared" si="0"/>
        <v>35</v>
      </c>
      <c r="AJ8" s="42">
        <f t="shared" si="0"/>
        <v>36</v>
      </c>
      <c r="AK8" s="42">
        <f t="shared" si="0"/>
        <v>37</v>
      </c>
      <c r="AL8" s="42">
        <f t="shared" si="0"/>
        <v>38</v>
      </c>
      <c r="AM8" s="73">
        <f t="shared" si="0"/>
        <v>39</v>
      </c>
      <c r="AN8" s="73">
        <f t="shared" si="0"/>
        <v>40</v>
      </c>
      <c r="AO8" s="73">
        <f t="shared" si="0"/>
        <v>41</v>
      </c>
      <c r="AP8" s="73">
        <f t="shared" si="0"/>
        <v>42</v>
      </c>
      <c r="AQ8" s="73">
        <f t="shared" si="0"/>
        <v>43</v>
      </c>
      <c r="AR8" s="73">
        <f t="shared" si="0"/>
        <v>44</v>
      </c>
      <c r="AS8" s="73">
        <f t="shared" si="0"/>
        <v>45</v>
      </c>
      <c r="AT8" s="73">
        <f t="shared" si="0"/>
        <v>46</v>
      </c>
      <c r="AU8" s="73">
        <f t="shared" si="0"/>
        <v>47</v>
      </c>
      <c r="AV8" s="73">
        <f t="shared" si="0"/>
        <v>48</v>
      </c>
      <c r="AW8" s="73">
        <v>49</v>
      </c>
      <c r="AX8" s="73">
        <v>50</v>
      </c>
      <c r="AY8" s="73">
        <v>51</v>
      </c>
      <c r="AZ8" s="73">
        <v>52</v>
      </c>
      <c r="BA8" s="74">
        <f t="shared" si="0"/>
        <v>53</v>
      </c>
    </row>
    <row r="9" spans="1:55" ht="31.5" customHeight="1" x14ac:dyDescent="0.25">
      <c r="A9" s="201">
        <v>1</v>
      </c>
      <c r="B9" s="207" t="s">
        <v>81</v>
      </c>
      <c r="C9" s="200">
        <v>6</v>
      </c>
      <c r="D9" s="41" t="s">
        <v>38</v>
      </c>
      <c r="E9" s="41" t="s">
        <v>37</v>
      </c>
      <c r="F9" s="41">
        <v>2</v>
      </c>
      <c r="G9" s="42" t="s">
        <v>39</v>
      </c>
      <c r="H9" s="32">
        <v>1663</v>
      </c>
      <c r="I9" s="32">
        <f>F9*H9</f>
        <v>3326</v>
      </c>
      <c r="J9" s="32" t="s">
        <v>54</v>
      </c>
      <c r="K9" s="33">
        <v>1.1000000000000001</v>
      </c>
      <c r="L9" s="32">
        <f>I9*K9</f>
        <v>3658.6000000000004</v>
      </c>
      <c r="M9" s="153">
        <f>SUM(L9:L14)</f>
        <v>8109.5650000000005</v>
      </c>
      <c r="N9" s="153">
        <f>M9*0.2</f>
        <v>1621.9130000000002</v>
      </c>
      <c r="O9" s="153">
        <f>M9+N9</f>
        <v>9731.478000000001</v>
      </c>
      <c r="P9" s="153">
        <f>O9*R9*S9</f>
        <v>10975.238740224002</v>
      </c>
      <c r="Q9" s="153">
        <f>SUM(X9:AC14)</f>
        <v>10975.238740224002</v>
      </c>
      <c r="R9" s="151">
        <v>1.0680000000000001</v>
      </c>
      <c r="S9" s="151">
        <v>1.056</v>
      </c>
      <c r="T9" s="151">
        <v>1.054</v>
      </c>
      <c r="U9" s="151">
        <v>1.0509999999999999</v>
      </c>
      <c r="V9" s="151">
        <v>1.0489999999999999</v>
      </c>
      <c r="W9" s="151">
        <v>1.0469999999999999</v>
      </c>
      <c r="X9" s="151">
        <v>0</v>
      </c>
      <c r="Y9" s="153">
        <f>O9*R9*S9</f>
        <v>10975.238740224002</v>
      </c>
      <c r="Z9" s="151">
        <v>0</v>
      </c>
      <c r="AA9" s="151">
        <v>0</v>
      </c>
      <c r="AB9" s="151">
        <v>0</v>
      </c>
      <c r="AC9" s="151">
        <v>0</v>
      </c>
      <c r="AD9" s="153">
        <f>O9</f>
        <v>9731.478000000001</v>
      </c>
      <c r="AE9" s="153">
        <f>AD9*AG9*AH9</f>
        <v>10975.238740224002</v>
      </c>
      <c r="AF9" s="153">
        <f>AM9+AN9+AO9+AP9+AQ9+AR9</f>
        <v>10975.238740224002</v>
      </c>
      <c r="AG9" s="161">
        <v>1.0680000000000001</v>
      </c>
      <c r="AH9" s="161">
        <v>1.056</v>
      </c>
      <c r="AI9" s="151">
        <v>1.0489999999999999</v>
      </c>
      <c r="AJ9" s="151">
        <v>1.139</v>
      </c>
      <c r="AK9" s="151">
        <v>1.0589999999999999</v>
      </c>
      <c r="AL9" s="151">
        <v>1.0529999999999999</v>
      </c>
      <c r="AM9" s="153">
        <v>0</v>
      </c>
      <c r="AN9" s="153">
        <f>AD9*AG9*AH9</f>
        <v>10975.238740224002</v>
      </c>
      <c r="AO9" s="153">
        <v>0</v>
      </c>
      <c r="AP9" s="153">
        <v>0</v>
      </c>
      <c r="AQ9" s="153">
        <v>0</v>
      </c>
      <c r="AR9" s="153">
        <v>0</v>
      </c>
      <c r="AS9" s="153">
        <f>AD9</f>
        <v>9731.478000000001</v>
      </c>
      <c r="AT9" s="153">
        <f>AY9+AX9</f>
        <v>10838.316844764002</v>
      </c>
      <c r="AU9" s="151">
        <v>1.0740000000000001</v>
      </c>
      <c r="AV9" s="151">
        <v>1.0369999999999999</v>
      </c>
      <c r="AW9" s="151">
        <v>1.0389999999999999</v>
      </c>
      <c r="AX9" s="151">
        <v>0</v>
      </c>
      <c r="AY9" s="153">
        <f>AD9*AU9*AV9</f>
        <v>10838.316844764002</v>
      </c>
      <c r="AZ9" s="153">
        <f>AS9-AD9</f>
        <v>0</v>
      </c>
      <c r="BA9" s="187">
        <f>AS9-O9</f>
        <v>0</v>
      </c>
      <c r="BB9" s="34">
        <f t="shared" ref="BB9:BB37" si="1">Q9/1.2</f>
        <v>9146.0322835200022</v>
      </c>
    </row>
    <row r="10" spans="1:55" ht="96.75" customHeight="1" x14ac:dyDescent="0.25">
      <c r="A10" s="201"/>
      <c r="B10" s="207"/>
      <c r="C10" s="200"/>
      <c r="D10" s="41" t="s">
        <v>42</v>
      </c>
      <c r="E10" s="41" t="s">
        <v>34</v>
      </c>
      <c r="F10" s="41">
        <v>2.5</v>
      </c>
      <c r="G10" s="31" t="s">
        <v>43</v>
      </c>
      <c r="H10" s="32">
        <v>699</v>
      </c>
      <c r="I10" s="32">
        <f>F10*H10</f>
        <v>1747.5</v>
      </c>
      <c r="J10" s="32" t="s">
        <v>55</v>
      </c>
      <c r="K10" s="33">
        <v>1.05</v>
      </c>
      <c r="L10" s="32">
        <f t="shared" ref="L10:L12" si="2">I10*K10</f>
        <v>1834.875</v>
      </c>
      <c r="M10" s="158"/>
      <c r="N10" s="158"/>
      <c r="O10" s="158"/>
      <c r="P10" s="158"/>
      <c r="Q10" s="158"/>
      <c r="R10" s="183"/>
      <c r="S10" s="183"/>
      <c r="T10" s="183"/>
      <c r="U10" s="183"/>
      <c r="V10" s="183"/>
      <c r="W10" s="183"/>
      <c r="X10" s="183"/>
      <c r="Y10" s="158"/>
      <c r="Z10" s="183"/>
      <c r="AA10" s="183"/>
      <c r="AB10" s="183"/>
      <c r="AC10" s="183"/>
      <c r="AD10" s="158"/>
      <c r="AE10" s="158"/>
      <c r="AF10" s="158"/>
      <c r="AG10" s="162"/>
      <c r="AH10" s="162"/>
      <c r="AI10" s="183"/>
      <c r="AJ10" s="183"/>
      <c r="AK10" s="183"/>
      <c r="AL10" s="183"/>
      <c r="AM10" s="158"/>
      <c r="AN10" s="158"/>
      <c r="AO10" s="158"/>
      <c r="AP10" s="158"/>
      <c r="AQ10" s="158"/>
      <c r="AR10" s="158"/>
      <c r="AS10" s="158"/>
      <c r="AT10" s="158"/>
      <c r="AU10" s="183"/>
      <c r="AV10" s="183"/>
      <c r="AW10" s="183"/>
      <c r="AX10" s="183"/>
      <c r="AY10" s="158"/>
      <c r="AZ10" s="158"/>
      <c r="BA10" s="188"/>
      <c r="BB10" s="34">
        <f t="shared" si="1"/>
        <v>0</v>
      </c>
    </row>
    <row r="11" spans="1:55" ht="69.75" customHeight="1" x14ac:dyDescent="0.25">
      <c r="A11" s="201"/>
      <c r="B11" s="207"/>
      <c r="C11" s="200"/>
      <c r="D11" s="41" t="s">
        <v>44</v>
      </c>
      <c r="E11" s="41" t="s">
        <v>45</v>
      </c>
      <c r="F11" s="41">
        <v>49.9</v>
      </c>
      <c r="G11" s="31" t="s">
        <v>46</v>
      </c>
      <c r="H11" s="32">
        <v>17</v>
      </c>
      <c r="I11" s="32">
        <f t="shared" ref="I11:I37" si="3">F11*H11</f>
        <v>848.3</v>
      </c>
      <c r="J11" s="32" t="s">
        <v>55</v>
      </c>
      <c r="K11" s="33">
        <v>1.05</v>
      </c>
      <c r="L11" s="32">
        <f t="shared" si="2"/>
        <v>890.71500000000003</v>
      </c>
      <c r="M11" s="158"/>
      <c r="N11" s="158"/>
      <c r="O11" s="158"/>
      <c r="P11" s="158"/>
      <c r="Q11" s="158"/>
      <c r="R11" s="183"/>
      <c r="S11" s="183"/>
      <c r="T11" s="183"/>
      <c r="U11" s="183"/>
      <c r="V11" s="183"/>
      <c r="W11" s="183"/>
      <c r="X11" s="183"/>
      <c r="Y11" s="158"/>
      <c r="Z11" s="183"/>
      <c r="AA11" s="183"/>
      <c r="AB11" s="183"/>
      <c r="AC11" s="183"/>
      <c r="AD11" s="158"/>
      <c r="AE11" s="158"/>
      <c r="AF11" s="158"/>
      <c r="AG11" s="162"/>
      <c r="AH11" s="162"/>
      <c r="AI11" s="183"/>
      <c r="AJ11" s="183"/>
      <c r="AK11" s="183"/>
      <c r="AL11" s="183"/>
      <c r="AM11" s="158"/>
      <c r="AN11" s="158"/>
      <c r="AO11" s="158"/>
      <c r="AP11" s="158"/>
      <c r="AQ11" s="158"/>
      <c r="AR11" s="158"/>
      <c r="AS11" s="158"/>
      <c r="AT11" s="158"/>
      <c r="AU11" s="183"/>
      <c r="AV11" s="183"/>
      <c r="AW11" s="183"/>
      <c r="AX11" s="183"/>
      <c r="AY11" s="158"/>
      <c r="AZ11" s="158"/>
      <c r="BA11" s="188"/>
      <c r="BB11" s="34">
        <f t="shared" si="1"/>
        <v>0</v>
      </c>
    </row>
    <row r="12" spans="1:55" ht="81.75" customHeight="1" x14ac:dyDescent="0.25">
      <c r="A12" s="201"/>
      <c r="B12" s="207"/>
      <c r="C12" s="200"/>
      <c r="D12" s="41" t="s">
        <v>47</v>
      </c>
      <c r="E12" s="41" t="s">
        <v>34</v>
      </c>
      <c r="F12" s="41">
        <v>2.5</v>
      </c>
      <c r="G12" s="31" t="s">
        <v>50</v>
      </c>
      <c r="H12" s="32">
        <v>449</v>
      </c>
      <c r="I12" s="32">
        <f t="shared" si="3"/>
        <v>1122.5</v>
      </c>
      <c r="J12" s="32" t="s">
        <v>55</v>
      </c>
      <c r="K12" s="33">
        <v>1.05</v>
      </c>
      <c r="L12" s="32">
        <f t="shared" si="2"/>
        <v>1178.625</v>
      </c>
      <c r="M12" s="158"/>
      <c r="N12" s="158"/>
      <c r="O12" s="158"/>
      <c r="P12" s="158"/>
      <c r="Q12" s="158"/>
      <c r="R12" s="183"/>
      <c r="S12" s="183"/>
      <c r="T12" s="183"/>
      <c r="U12" s="183"/>
      <c r="V12" s="183"/>
      <c r="W12" s="183"/>
      <c r="X12" s="183"/>
      <c r="Y12" s="158"/>
      <c r="Z12" s="183"/>
      <c r="AA12" s="183"/>
      <c r="AB12" s="183"/>
      <c r="AC12" s="183"/>
      <c r="AD12" s="158"/>
      <c r="AE12" s="158"/>
      <c r="AF12" s="158"/>
      <c r="AG12" s="162"/>
      <c r="AH12" s="162"/>
      <c r="AI12" s="183"/>
      <c r="AJ12" s="183"/>
      <c r="AK12" s="183"/>
      <c r="AL12" s="183"/>
      <c r="AM12" s="158"/>
      <c r="AN12" s="158"/>
      <c r="AO12" s="158"/>
      <c r="AP12" s="158"/>
      <c r="AQ12" s="158"/>
      <c r="AR12" s="158"/>
      <c r="AS12" s="158"/>
      <c r="AT12" s="158"/>
      <c r="AU12" s="183"/>
      <c r="AV12" s="183"/>
      <c r="AW12" s="183"/>
      <c r="AX12" s="183"/>
      <c r="AY12" s="158"/>
      <c r="AZ12" s="158"/>
      <c r="BA12" s="188"/>
      <c r="BB12" s="34">
        <f t="shared" si="1"/>
        <v>0</v>
      </c>
    </row>
    <row r="13" spans="1:55" ht="79.5" customHeight="1" x14ac:dyDescent="0.25">
      <c r="A13" s="201"/>
      <c r="B13" s="207"/>
      <c r="C13" s="200"/>
      <c r="D13" s="41" t="s">
        <v>48</v>
      </c>
      <c r="E13" s="41" t="s">
        <v>49</v>
      </c>
      <c r="F13" s="41">
        <v>0.25</v>
      </c>
      <c r="G13" s="31" t="s">
        <v>51</v>
      </c>
      <c r="H13" s="32">
        <v>187</v>
      </c>
      <c r="I13" s="32">
        <f t="shared" si="3"/>
        <v>46.75</v>
      </c>
      <c r="J13" s="32" t="s">
        <v>36</v>
      </c>
      <c r="K13" s="33" t="s">
        <v>36</v>
      </c>
      <c r="L13" s="32">
        <f>I13</f>
        <v>46.75</v>
      </c>
      <c r="M13" s="158"/>
      <c r="N13" s="158"/>
      <c r="O13" s="158"/>
      <c r="P13" s="158"/>
      <c r="Q13" s="158"/>
      <c r="R13" s="183"/>
      <c r="S13" s="183"/>
      <c r="T13" s="183"/>
      <c r="U13" s="183"/>
      <c r="V13" s="183"/>
      <c r="W13" s="183"/>
      <c r="X13" s="183"/>
      <c r="Y13" s="158"/>
      <c r="Z13" s="183"/>
      <c r="AA13" s="183"/>
      <c r="AB13" s="183"/>
      <c r="AC13" s="183"/>
      <c r="AD13" s="158"/>
      <c r="AE13" s="158"/>
      <c r="AF13" s="158"/>
      <c r="AG13" s="162"/>
      <c r="AH13" s="162"/>
      <c r="AI13" s="183"/>
      <c r="AJ13" s="183"/>
      <c r="AK13" s="183"/>
      <c r="AL13" s="183"/>
      <c r="AM13" s="158"/>
      <c r="AN13" s="158"/>
      <c r="AO13" s="158"/>
      <c r="AP13" s="158"/>
      <c r="AQ13" s="158"/>
      <c r="AR13" s="158"/>
      <c r="AS13" s="158"/>
      <c r="AT13" s="158"/>
      <c r="AU13" s="183"/>
      <c r="AV13" s="183"/>
      <c r="AW13" s="183"/>
      <c r="AX13" s="183"/>
      <c r="AY13" s="158"/>
      <c r="AZ13" s="158"/>
      <c r="BA13" s="188"/>
      <c r="BB13" s="34">
        <f t="shared" si="1"/>
        <v>0</v>
      </c>
    </row>
    <row r="14" spans="1:55" ht="44.25" customHeight="1" x14ac:dyDescent="0.25">
      <c r="A14" s="201"/>
      <c r="B14" s="207"/>
      <c r="C14" s="200"/>
      <c r="D14" s="41" t="s">
        <v>52</v>
      </c>
      <c r="E14" s="41" t="s">
        <v>41</v>
      </c>
      <c r="F14" s="41">
        <v>1</v>
      </c>
      <c r="G14" s="31" t="s">
        <v>53</v>
      </c>
      <c r="H14" s="32">
        <v>500</v>
      </c>
      <c r="I14" s="32">
        <f t="shared" si="3"/>
        <v>500</v>
      </c>
      <c r="J14" s="32" t="s">
        <v>36</v>
      </c>
      <c r="K14" s="32" t="s">
        <v>36</v>
      </c>
      <c r="L14" s="32">
        <f>I14</f>
        <v>500</v>
      </c>
      <c r="M14" s="154"/>
      <c r="N14" s="154"/>
      <c r="O14" s="154"/>
      <c r="P14" s="154"/>
      <c r="Q14" s="154"/>
      <c r="R14" s="152"/>
      <c r="S14" s="152"/>
      <c r="T14" s="152"/>
      <c r="U14" s="152"/>
      <c r="V14" s="152"/>
      <c r="W14" s="152"/>
      <c r="X14" s="152"/>
      <c r="Y14" s="154"/>
      <c r="Z14" s="152"/>
      <c r="AA14" s="152"/>
      <c r="AB14" s="152"/>
      <c r="AC14" s="152"/>
      <c r="AD14" s="154"/>
      <c r="AE14" s="154"/>
      <c r="AF14" s="154"/>
      <c r="AG14" s="163"/>
      <c r="AH14" s="163"/>
      <c r="AI14" s="152"/>
      <c r="AJ14" s="152"/>
      <c r="AK14" s="152"/>
      <c r="AL14" s="152"/>
      <c r="AM14" s="154"/>
      <c r="AN14" s="154"/>
      <c r="AO14" s="154"/>
      <c r="AP14" s="154"/>
      <c r="AQ14" s="154"/>
      <c r="AR14" s="154"/>
      <c r="AS14" s="154"/>
      <c r="AT14" s="154"/>
      <c r="AU14" s="152"/>
      <c r="AV14" s="152"/>
      <c r="AW14" s="152"/>
      <c r="AX14" s="152"/>
      <c r="AY14" s="154"/>
      <c r="AZ14" s="154"/>
      <c r="BA14" s="189"/>
      <c r="BB14" s="34">
        <f t="shared" si="1"/>
        <v>0</v>
      </c>
    </row>
    <row r="15" spans="1:55" ht="31.5" customHeight="1" x14ac:dyDescent="0.25">
      <c r="A15" s="201">
        <v>2</v>
      </c>
      <c r="B15" s="207" t="s">
        <v>56</v>
      </c>
      <c r="C15" s="200">
        <v>6</v>
      </c>
      <c r="D15" s="41" t="s">
        <v>38</v>
      </c>
      <c r="E15" s="41" t="s">
        <v>37</v>
      </c>
      <c r="F15" s="41">
        <v>2</v>
      </c>
      <c r="G15" s="42" t="s">
        <v>39</v>
      </c>
      <c r="H15" s="32">
        <v>1663</v>
      </c>
      <c r="I15" s="32">
        <f t="shared" si="3"/>
        <v>3326</v>
      </c>
      <c r="J15" s="32" t="s">
        <v>54</v>
      </c>
      <c r="K15" s="33">
        <v>1.1000000000000001</v>
      </c>
      <c r="L15" s="32">
        <f>I15*K15</f>
        <v>3658.6000000000004</v>
      </c>
      <c r="M15" s="153">
        <f>SUM(L15:L20)</f>
        <v>6153.6262000000006</v>
      </c>
      <c r="N15" s="153">
        <f>M15*0.2</f>
        <v>1230.7252400000002</v>
      </c>
      <c r="O15" s="153">
        <f>M15+N15</f>
        <v>7384.3514400000004</v>
      </c>
      <c r="P15" s="153">
        <f>O15*R15*S15</f>
        <v>8328.1306288435208</v>
      </c>
      <c r="Q15" s="153">
        <f>SUM(X15:AC20)</f>
        <v>8328.1306288435208</v>
      </c>
      <c r="R15" s="151">
        <v>1.0680000000000001</v>
      </c>
      <c r="S15" s="151">
        <v>1.056</v>
      </c>
      <c r="T15" s="151">
        <v>1.054</v>
      </c>
      <c r="U15" s="151">
        <v>1.0509999999999999</v>
      </c>
      <c r="V15" s="151">
        <v>1.0489999999999999</v>
      </c>
      <c r="W15" s="151">
        <v>1.0469999999999999</v>
      </c>
      <c r="X15" s="151">
        <v>0</v>
      </c>
      <c r="Y15" s="153">
        <f>O15*R15*S15</f>
        <v>8328.1306288435208</v>
      </c>
      <c r="Z15" s="151">
        <v>0</v>
      </c>
      <c r="AA15" s="151">
        <v>0</v>
      </c>
      <c r="AB15" s="151">
        <v>0</v>
      </c>
      <c r="AC15" s="151">
        <v>0</v>
      </c>
      <c r="AD15" s="153">
        <f>O15</f>
        <v>7384.3514400000004</v>
      </c>
      <c r="AE15" s="153">
        <f>AD15*AG15*AH15</f>
        <v>8328.1306288435208</v>
      </c>
      <c r="AF15" s="153">
        <f>AM15+AN15+AO15+AP15+AQ15+AR15</f>
        <v>8328.1306288435208</v>
      </c>
      <c r="AG15" s="161">
        <v>1.0680000000000001</v>
      </c>
      <c r="AH15" s="161">
        <v>1.056</v>
      </c>
      <c r="AI15" s="151">
        <v>1.0489999999999999</v>
      </c>
      <c r="AJ15" s="151">
        <v>1.139</v>
      </c>
      <c r="AK15" s="151">
        <v>1.0589999999999999</v>
      </c>
      <c r="AL15" s="151">
        <v>1.0529999999999999</v>
      </c>
      <c r="AM15" s="153">
        <v>0</v>
      </c>
      <c r="AN15" s="153">
        <f>AD15*AG15*AH15</f>
        <v>8328.1306288435208</v>
      </c>
      <c r="AO15" s="153">
        <v>0</v>
      </c>
      <c r="AP15" s="153">
        <v>0</v>
      </c>
      <c r="AQ15" s="153">
        <v>0</v>
      </c>
      <c r="AR15" s="153">
        <v>0</v>
      </c>
      <c r="AS15" s="153">
        <f t="shared" ref="AS15" si="4">AD15</f>
        <v>7384.3514400000004</v>
      </c>
      <c r="AT15" s="153">
        <f>AY15+AX15</f>
        <v>8224.2328040827197</v>
      </c>
      <c r="AU15" s="151">
        <v>1.0740000000000001</v>
      </c>
      <c r="AV15" s="151">
        <v>1.0369999999999999</v>
      </c>
      <c r="AW15" s="151">
        <v>1.0389999999999999</v>
      </c>
      <c r="AX15" s="151">
        <v>0</v>
      </c>
      <c r="AY15" s="153">
        <f>AD15*AU15*AV15</f>
        <v>8224.2328040827197</v>
      </c>
      <c r="AZ15" s="153">
        <f>AS15-AD15</f>
        <v>0</v>
      </c>
      <c r="BA15" s="187">
        <f>AS15-O15</f>
        <v>0</v>
      </c>
      <c r="BB15" s="34">
        <f t="shared" si="1"/>
        <v>6940.1088573696006</v>
      </c>
    </row>
    <row r="16" spans="1:55" ht="90.75" customHeight="1" x14ac:dyDescent="0.25">
      <c r="A16" s="201"/>
      <c r="B16" s="207"/>
      <c r="C16" s="200"/>
      <c r="D16" s="41" t="s">
        <v>42</v>
      </c>
      <c r="E16" s="41" t="s">
        <v>34</v>
      </c>
      <c r="F16" s="41">
        <v>1.7969999999999999</v>
      </c>
      <c r="G16" s="31" t="s">
        <v>43</v>
      </c>
      <c r="H16" s="32">
        <v>699</v>
      </c>
      <c r="I16" s="32">
        <f t="shared" si="3"/>
        <v>1256.1029999999998</v>
      </c>
      <c r="J16" s="32" t="s">
        <v>55</v>
      </c>
      <c r="K16" s="33">
        <v>1.05</v>
      </c>
      <c r="L16" s="32">
        <f>I16*K16</f>
        <v>1318.90815</v>
      </c>
      <c r="M16" s="158"/>
      <c r="N16" s="158"/>
      <c r="O16" s="158"/>
      <c r="P16" s="158"/>
      <c r="Q16" s="158"/>
      <c r="R16" s="183"/>
      <c r="S16" s="183"/>
      <c r="T16" s="183"/>
      <c r="U16" s="183"/>
      <c r="V16" s="183"/>
      <c r="W16" s="183"/>
      <c r="X16" s="183"/>
      <c r="Y16" s="158"/>
      <c r="Z16" s="183"/>
      <c r="AA16" s="183"/>
      <c r="AB16" s="183"/>
      <c r="AC16" s="183"/>
      <c r="AD16" s="158"/>
      <c r="AE16" s="158"/>
      <c r="AF16" s="158"/>
      <c r="AG16" s="162"/>
      <c r="AH16" s="162"/>
      <c r="AI16" s="183"/>
      <c r="AJ16" s="183"/>
      <c r="AK16" s="183"/>
      <c r="AL16" s="183"/>
      <c r="AM16" s="158"/>
      <c r="AN16" s="158"/>
      <c r="AO16" s="158"/>
      <c r="AP16" s="158"/>
      <c r="AQ16" s="158"/>
      <c r="AR16" s="158"/>
      <c r="AS16" s="158"/>
      <c r="AT16" s="158"/>
      <c r="AU16" s="183"/>
      <c r="AV16" s="183"/>
      <c r="AW16" s="183"/>
      <c r="AX16" s="183"/>
      <c r="AY16" s="158"/>
      <c r="AZ16" s="158"/>
      <c r="BA16" s="188"/>
      <c r="BB16" s="34">
        <f t="shared" si="1"/>
        <v>0</v>
      </c>
    </row>
    <row r="17" spans="1:54" ht="69.75" customHeight="1" x14ac:dyDescent="0.25">
      <c r="A17" s="201"/>
      <c r="B17" s="207"/>
      <c r="C17" s="200"/>
      <c r="D17" s="41" t="s">
        <v>44</v>
      </c>
      <c r="E17" s="41" t="s">
        <v>45</v>
      </c>
      <c r="F17" s="41">
        <v>3.54</v>
      </c>
      <c r="G17" s="31" t="s">
        <v>46</v>
      </c>
      <c r="H17" s="32">
        <v>17</v>
      </c>
      <c r="I17" s="32">
        <f t="shared" si="3"/>
        <v>60.18</v>
      </c>
      <c r="J17" s="32" t="s">
        <v>55</v>
      </c>
      <c r="K17" s="33">
        <v>1.05</v>
      </c>
      <c r="L17" s="32">
        <f>I17*K17</f>
        <v>63.189</v>
      </c>
      <c r="M17" s="158"/>
      <c r="N17" s="158"/>
      <c r="O17" s="158"/>
      <c r="P17" s="158"/>
      <c r="Q17" s="158"/>
      <c r="R17" s="183"/>
      <c r="S17" s="183"/>
      <c r="T17" s="183"/>
      <c r="U17" s="183"/>
      <c r="V17" s="183"/>
      <c r="W17" s="183"/>
      <c r="X17" s="183"/>
      <c r="Y17" s="158"/>
      <c r="Z17" s="183"/>
      <c r="AA17" s="183"/>
      <c r="AB17" s="183"/>
      <c r="AC17" s="183"/>
      <c r="AD17" s="158"/>
      <c r="AE17" s="158"/>
      <c r="AF17" s="158"/>
      <c r="AG17" s="162"/>
      <c r="AH17" s="162"/>
      <c r="AI17" s="183"/>
      <c r="AJ17" s="183"/>
      <c r="AK17" s="183"/>
      <c r="AL17" s="183"/>
      <c r="AM17" s="158"/>
      <c r="AN17" s="158"/>
      <c r="AO17" s="158"/>
      <c r="AP17" s="158"/>
      <c r="AQ17" s="158"/>
      <c r="AR17" s="158"/>
      <c r="AS17" s="158"/>
      <c r="AT17" s="158"/>
      <c r="AU17" s="183"/>
      <c r="AV17" s="183"/>
      <c r="AW17" s="183"/>
      <c r="AX17" s="183"/>
      <c r="AY17" s="158"/>
      <c r="AZ17" s="158"/>
      <c r="BA17" s="188"/>
      <c r="BB17" s="34">
        <f t="shared" si="1"/>
        <v>0</v>
      </c>
    </row>
    <row r="18" spans="1:54" ht="81.75" customHeight="1" x14ac:dyDescent="0.25">
      <c r="A18" s="201"/>
      <c r="B18" s="207"/>
      <c r="C18" s="200"/>
      <c r="D18" s="41" t="s">
        <v>57</v>
      </c>
      <c r="E18" s="41" t="s">
        <v>34</v>
      </c>
      <c r="F18" s="41">
        <v>1.7969999999999999</v>
      </c>
      <c r="G18" s="31" t="s">
        <v>58</v>
      </c>
      <c r="H18" s="32">
        <v>413</v>
      </c>
      <c r="I18" s="32">
        <f t="shared" si="3"/>
        <v>742.16099999999994</v>
      </c>
      <c r="J18" s="32" t="s">
        <v>55</v>
      </c>
      <c r="K18" s="33">
        <v>1.05</v>
      </c>
      <c r="L18" s="32">
        <f>I18*K18</f>
        <v>779.26904999999999</v>
      </c>
      <c r="M18" s="158"/>
      <c r="N18" s="158"/>
      <c r="O18" s="158"/>
      <c r="P18" s="158"/>
      <c r="Q18" s="158"/>
      <c r="R18" s="183"/>
      <c r="S18" s="183"/>
      <c r="T18" s="183"/>
      <c r="U18" s="183"/>
      <c r="V18" s="183"/>
      <c r="W18" s="183"/>
      <c r="X18" s="183"/>
      <c r="Y18" s="158"/>
      <c r="Z18" s="183"/>
      <c r="AA18" s="183"/>
      <c r="AB18" s="183"/>
      <c r="AC18" s="183"/>
      <c r="AD18" s="158"/>
      <c r="AE18" s="158"/>
      <c r="AF18" s="158"/>
      <c r="AG18" s="162"/>
      <c r="AH18" s="162"/>
      <c r="AI18" s="183"/>
      <c r="AJ18" s="183"/>
      <c r="AK18" s="183"/>
      <c r="AL18" s="183"/>
      <c r="AM18" s="158"/>
      <c r="AN18" s="158"/>
      <c r="AO18" s="158"/>
      <c r="AP18" s="158"/>
      <c r="AQ18" s="158"/>
      <c r="AR18" s="158"/>
      <c r="AS18" s="158"/>
      <c r="AT18" s="158"/>
      <c r="AU18" s="183"/>
      <c r="AV18" s="183"/>
      <c r="AW18" s="183"/>
      <c r="AX18" s="183"/>
      <c r="AY18" s="158"/>
      <c r="AZ18" s="158"/>
      <c r="BA18" s="188"/>
      <c r="BB18" s="34">
        <f t="shared" si="1"/>
        <v>0</v>
      </c>
    </row>
    <row r="19" spans="1:54" ht="79.5" customHeight="1" x14ac:dyDescent="0.25">
      <c r="A19" s="201"/>
      <c r="B19" s="207"/>
      <c r="C19" s="200"/>
      <c r="D19" s="41" t="s">
        <v>48</v>
      </c>
      <c r="E19" s="41" t="s">
        <v>49</v>
      </c>
      <c r="F19" s="41">
        <v>0.18</v>
      </c>
      <c r="G19" s="31" t="s">
        <v>51</v>
      </c>
      <c r="H19" s="32">
        <v>187</v>
      </c>
      <c r="I19" s="32">
        <f t="shared" si="3"/>
        <v>33.659999999999997</v>
      </c>
      <c r="J19" s="32" t="s">
        <v>36</v>
      </c>
      <c r="K19" s="33" t="s">
        <v>36</v>
      </c>
      <c r="L19" s="32">
        <f>I19</f>
        <v>33.659999999999997</v>
      </c>
      <c r="M19" s="158"/>
      <c r="N19" s="158"/>
      <c r="O19" s="158"/>
      <c r="P19" s="158"/>
      <c r="Q19" s="158"/>
      <c r="R19" s="183"/>
      <c r="S19" s="183"/>
      <c r="T19" s="183"/>
      <c r="U19" s="183"/>
      <c r="V19" s="183"/>
      <c r="W19" s="183"/>
      <c r="X19" s="183"/>
      <c r="Y19" s="158"/>
      <c r="Z19" s="183"/>
      <c r="AA19" s="183"/>
      <c r="AB19" s="183"/>
      <c r="AC19" s="183"/>
      <c r="AD19" s="158"/>
      <c r="AE19" s="158"/>
      <c r="AF19" s="158"/>
      <c r="AG19" s="162"/>
      <c r="AH19" s="162"/>
      <c r="AI19" s="183"/>
      <c r="AJ19" s="183"/>
      <c r="AK19" s="183"/>
      <c r="AL19" s="183"/>
      <c r="AM19" s="158"/>
      <c r="AN19" s="158"/>
      <c r="AO19" s="158"/>
      <c r="AP19" s="158"/>
      <c r="AQ19" s="158"/>
      <c r="AR19" s="158"/>
      <c r="AS19" s="158"/>
      <c r="AT19" s="158"/>
      <c r="AU19" s="183"/>
      <c r="AV19" s="183"/>
      <c r="AW19" s="183"/>
      <c r="AX19" s="183"/>
      <c r="AY19" s="158"/>
      <c r="AZ19" s="158"/>
      <c r="BA19" s="188"/>
      <c r="BB19" s="34">
        <f t="shared" si="1"/>
        <v>0</v>
      </c>
    </row>
    <row r="20" spans="1:54" ht="44.25" customHeight="1" x14ac:dyDescent="0.25">
      <c r="A20" s="201"/>
      <c r="B20" s="207"/>
      <c r="C20" s="200"/>
      <c r="D20" s="41" t="s">
        <v>40</v>
      </c>
      <c r="E20" s="41" t="s">
        <v>41</v>
      </c>
      <c r="F20" s="41">
        <v>1</v>
      </c>
      <c r="G20" s="31" t="s">
        <v>53</v>
      </c>
      <c r="H20" s="32">
        <v>300</v>
      </c>
      <c r="I20" s="32">
        <f t="shared" si="3"/>
        <v>300</v>
      </c>
      <c r="J20" s="32" t="s">
        <v>36</v>
      </c>
      <c r="K20" s="32" t="s">
        <v>36</v>
      </c>
      <c r="L20" s="32">
        <f>I20</f>
        <v>300</v>
      </c>
      <c r="M20" s="154"/>
      <c r="N20" s="154"/>
      <c r="O20" s="154"/>
      <c r="P20" s="154"/>
      <c r="Q20" s="154"/>
      <c r="R20" s="152"/>
      <c r="S20" s="152"/>
      <c r="T20" s="152"/>
      <c r="U20" s="152"/>
      <c r="V20" s="152"/>
      <c r="W20" s="152"/>
      <c r="X20" s="152"/>
      <c r="Y20" s="154"/>
      <c r="Z20" s="152"/>
      <c r="AA20" s="152"/>
      <c r="AB20" s="152"/>
      <c r="AC20" s="152"/>
      <c r="AD20" s="154"/>
      <c r="AE20" s="154"/>
      <c r="AF20" s="154"/>
      <c r="AG20" s="163"/>
      <c r="AH20" s="163"/>
      <c r="AI20" s="152"/>
      <c r="AJ20" s="152"/>
      <c r="AK20" s="152"/>
      <c r="AL20" s="152"/>
      <c r="AM20" s="154"/>
      <c r="AN20" s="154"/>
      <c r="AO20" s="154"/>
      <c r="AP20" s="154"/>
      <c r="AQ20" s="154"/>
      <c r="AR20" s="154"/>
      <c r="AS20" s="154"/>
      <c r="AT20" s="154"/>
      <c r="AU20" s="152"/>
      <c r="AV20" s="152"/>
      <c r="AW20" s="152"/>
      <c r="AX20" s="152"/>
      <c r="AY20" s="154"/>
      <c r="AZ20" s="154"/>
      <c r="BA20" s="189"/>
      <c r="BB20" s="34">
        <f t="shared" si="1"/>
        <v>0</v>
      </c>
    </row>
    <row r="21" spans="1:54" ht="31.5" customHeight="1" x14ac:dyDescent="0.25">
      <c r="A21" s="201">
        <v>3</v>
      </c>
      <c r="B21" s="207" t="s">
        <v>95</v>
      </c>
      <c r="C21" s="200">
        <v>6</v>
      </c>
      <c r="D21" s="41" t="s">
        <v>38</v>
      </c>
      <c r="E21" s="41" t="s">
        <v>37</v>
      </c>
      <c r="F21" s="41">
        <v>3</v>
      </c>
      <c r="G21" s="42" t="s">
        <v>39</v>
      </c>
      <c r="H21" s="32">
        <v>1663</v>
      </c>
      <c r="I21" s="32">
        <f t="shared" si="3"/>
        <v>4989</v>
      </c>
      <c r="J21" s="32" t="s">
        <v>54</v>
      </c>
      <c r="K21" s="33">
        <v>1.1000000000000001</v>
      </c>
      <c r="L21" s="32">
        <f>I21*K21</f>
        <v>5487.9000000000005</v>
      </c>
      <c r="M21" s="153">
        <f>SUM(L21:L26)</f>
        <v>8779.5790000000015</v>
      </c>
      <c r="N21" s="153">
        <f>M21*0.2</f>
        <v>1755.9158000000004</v>
      </c>
      <c r="O21" s="153">
        <f>M21+N21</f>
        <v>10535.494800000002</v>
      </c>
      <c r="P21" s="153">
        <f>O21*R21*S21</f>
        <v>11882.015319398402</v>
      </c>
      <c r="Q21" s="153">
        <f>SUM(X21:AC26)</f>
        <v>11882.015319398402</v>
      </c>
      <c r="R21" s="151">
        <v>1.0680000000000001</v>
      </c>
      <c r="S21" s="151">
        <v>1.056</v>
      </c>
      <c r="T21" s="151">
        <v>1.054</v>
      </c>
      <c r="U21" s="151">
        <v>1.0509999999999999</v>
      </c>
      <c r="V21" s="151">
        <v>1.0489999999999999</v>
      </c>
      <c r="W21" s="151">
        <v>1.0469999999999999</v>
      </c>
      <c r="X21" s="151">
        <v>0</v>
      </c>
      <c r="Y21" s="153">
        <f>O21*R21*S21</f>
        <v>11882.015319398402</v>
      </c>
      <c r="Z21" s="151">
        <v>0</v>
      </c>
      <c r="AA21" s="151">
        <v>0</v>
      </c>
      <c r="AB21" s="151">
        <v>0</v>
      </c>
      <c r="AC21" s="151">
        <v>0</v>
      </c>
      <c r="AD21" s="153">
        <f>O21</f>
        <v>10535.494800000002</v>
      </c>
      <c r="AE21" s="153">
        <f>AD21*AG21*AH21</f>
        <v>11882.015319398402</v>
      </c>
      <c r="AF21" s="153">
        <f>AM21+AN21+AO21+AP21+AQ21+AR21</f>
        <v>11882.015319398402</v>
      </c>
      <c r="AG21" s="161">
        <v>1.0680000000000001</v>
      </c>
      <c r="AH21" s="161">
        <v>1.056</v>
      </c>
      <c r="AI21" s="151">
        <v>1.0489999999999999</v>
      </c>
      <c r="AJ21" s="151">
        <v>1.139</v>
      </c>
      <c r="AK21" s="151">
        <v>1.0589999999999999</v>
      </c>
      <c r="AL21" s="151">
        <v>1.0529999999999999</v>
      </c>
      <c r="AM21" s="153">
        <v>0</v>
      </c>
      <c r="AN21" s="153">
        <f>AD21*AG21*AH21</f>
        <v>11882.015319398402</v>
      </c>
      <c r="AO21" s="153">
        <v>0</v>
      </c>
      <c r="AP21" s="153">
        <v>0</v>
      </c>
      <c r="AQ21" s="153">
        <v>0</v>
      </c>
      <c r="AR21" s="153">
        <v>0</v>
      </c>
      <c r="AS21" s="153">
        <v>10535.494800000002</v>
      </c>
      <c r="AT21" s="153">
        <v>14520.432097022402</v>
      </c>
      <c r="AU21" s="151">
        <v>1.0740000000000001</v>
      </c>
      <c r="AV21" s="151">
        <v>1.0369999999999999</v>
      </c>
      <c r="AW21" s="151">
        <v>1.0389999999999999</v>
      </c>
      <c r="AX21" s="153">
        <v>0</v>
      </c>
      <c r="AY21" s="153">
        <v>14520.432097022402</v>
      </c>
      <c r="AZ21" s="153">
        <v>0</v>
      </c>
      <c r="BA21" s="187">
        <f>AS21-O21</f>
        <v>0</v>
      </c>
      <c r="BB21" s="34">
        <f t="shared" si="1"/>
        <v>9901.6794328320029</v>
      </c>
    </row>
    <row r="22" spans="1:54" ht="85.5" customHeight="1" x14ac:dyDescent="0.25">
      <c r="A22" s="201"/>
      <c r="B22" s="207"/>
      <c r="C22" s="200"/>
      <c r="D22" s="41" t="s">
        <v>42</v>
      </c>
      <c r="E22" s="41" t="s">
        <v>34</v>
      </c>
      <c r="F22" s="41">
        <v>2.2999999999999998</v>
      </c>
      <c r="G22" s="31" t="s">
        <v>43</v>
      </c>
      <c r="H22" s="32">
        <v>699</v>
      </c>
      <c r="I22" s="32">
        <f t="shared" si="3"/>
        <v>1607.6999999999998</v>
      </c>
      <c r="J22" s="32" t="s">
        <v>55</v>
      </c>
      <c r="K22" s="33">
        <v>1.05</v>
      </c>
      <c r="L22" s="32">
        <f>I22*K22</f>
        <v>1688.0849999999998</v>
      </c>
      <c r="M22" s="158"/>
      <c r="N22" s="158"/>
      <c r="O22" s="158"/>
      <c r="P22" s="158"/>
      <c r="Q22" s="158"/>
      <c r="R22" s="183"/>
      <c r="S22" s="183"/>
      <c r="T22" s="183"/>
      <c r="U22" s="183"/>
      <c r="V22" s="183"/>
      <c r="W22" s="183"/>
      <c r="X22" s="183"/>
      <c r="Y22" s="158"/>
      <c r="Z22" s="183"/>
      <c r="AA22" s="183"/>
      <c r="AB22" s="183"/>
      <c r="AC22" s="183"/>
      <c r="AD22" s="158"/>
      <c r="AE22" s="158"/>
      <c r="AF22" s="158"/>
      <c r="AG22" s="162"/>
      <c r="AH22" s="162"/>
      <c r="AI22" s="183"/>
      <c r="AJ22" s="183"/>
      <c r="AK22" s="183"/>
      <c r="AL22" s="183"/>
      <c r="AM22" s="158"/>
      <c r="AN22" s="158"/>
      <c r="AO22" s="158"/>
      <c r="AP22" s="158"/>
      <c r="AQ22" s="158"/>
      <c r="AR22" s="158"/>
      <c r="AS22" s="158"/>
      <c r="AT22" s="158"/>
      <c r="AU22" s="183"/>
      <c r="AV22" s="183"/>
      <c r="AW22" s="183"/>
      <c r="AX22" s="158"/>
      <c r="AY22" s="158"/>
      <c r="AZ22" s="158"/>
      <c r="BA22" s="188"/>
      <c r="BB22" s="34">
        <f t="shared" si="1"/>
        <v>0</v>
      </c>
    </row>
    <row r="23" spans="1:54" ht="61.5" customHeight="1" x14ac:dyDescent="0.25">
      <c r="A23" s="201"/>
      <c r="B23" s="207"/>
      <c r="C23" s="200"/>
      <c r="D23" s="41" t="s">
        <v>44</v>
      </c>
      <c r="E23" s="41" t="s">
        <v>45</v>
      </c>
      <c r="F23" s="41">
        <v>3.54</v>
      </c>
      <c r="G23" s="31" t="s">
        <v>46</v>
      </c>
      <c r="H23" s="32">
        <v>17</v>
      </c>
      <c r="I23" s="32">
        <f t="shared" si="3"/>
        <v>60.18</v>
      </c>
      <c r="J23" s="32" t="s">
        <v>55</v>
      </c>
      <c r="K23" s="33">
        <v>1.05</v>
      </c>
      <c r="L23" s="32">
        <f>I23*K23</f>
        <v>63.189</v>
      </c>
      <c r="M23" s="158"/>
      <c r="N23" s="158"/>
      <c r="O23" s="158"/>
      <c r="P23" s="158"/>
      <c r="Q23" s="158"/>
      <c r="R23" s="183"/>
      <c r="S23" s="183"/>
      <c r="T23" s="183"/>
      <c r="U23" s="183"/>
      <c r="V23" s="183"/>
      <c r="W23" s="183"/>
      <c r="X23" s="183"/>
      <c r="Y23" s="158"/>
      <c r="Z23" s="183"/>
      <c r="AA23" s="183"/>
      <c r="AB23" s="183"/>
      <c r="AC23" s="183"/>
      <c r="AD23" s="158"/>
      <c r="AE23" s="158"/>
      <c r="AF23" s="158"/>
      <c r="AG23" s="162"/>
      <c r="AH23" s="162"/>
      <c r="AI23" s="183"/>
      <c r="AJ23" s="183"/>
      <c r="AK23" s="183"/>
      <c r="AL23" s="183"/>
      <c r="AM23" s="158"/>
      <c r="AN23" s="158"/>
      <c r="AO23" s="158"/>
      <c r="AP23" s="158"/>
      <c r="AQ23" s="158"/>
      <c r="AR23" s="158"/>
      <c r="AS23" s="158"/>
      <c r="AT23" s="158"/>
      <c r="AU23" s="183"/>
      <c r="AV23" s="183"/>
      <c r="AW23" s="183"/>
      <c r="AX23" s="158"/>
      <c r="AY23" s="158"/>
      <c r="AZ23" s="158"/>
      <c r="BA23" s="188"/>
      <c r="BB23" s="34">
        <f t="shared" si="1"/>
        <v>0</v>
      </c>
    </row>
    <row r="24" spans="1:54" ht="78.75" customHeight="1" x14ac:dyDescent="0.25">
      <c r="A24" s="201"/>
      <c r="B24" s="207"/>
      <c r="C24" s="200"/>
      <c r="D24" s="41" t="s">
        <v>57</v>
      </c>
      <c r="E24" s="41" t="s">
        <v>34</v>
      </c>
      <c r="F24" s="41">
        <v>2.2999999999999998</v>
      </c>
      <c r="G24" s="31" t="s">
        <v>58</v>
      </c>
      <c r="H24" s="32">
        <v>413</v>
      </c>
      <c r="I24" s="32">
        <f t="shared" si="3"/>
        <v>949.9</v>
      </c>
      <c r="J24" s="32" t="s">
        <v>55</v>
      </c>
      <c r="K24" s="33">
        <v>1.05</v>
      </c>
      <c r="L24" s="32">
        <f>I24*K24</f>
        <v>997.39499999999998</v>
      </c>
      <c r="M24" s="158"/>
      <c r="N24" s="158"/>
      <c r="O24" s="158"/>
      <c r="P24" s="158"/>
      <c r="Q24" s="158"/>
      <c r="R24" s="183"/>
      <c r="S24" s="183"/>
      <c r="T24" s="183"/>
      <c r="U24" s="183"/>
      <c r="V24" s="183"/>
      <c r="W24" s="183"/>
      <c r="X24" s="183"/>
      <c r="Y24" s="158"/>
      <c r="Z24" s="183"/>
      <c r="AA24" s="183"/>
      <c r="AB24" s="183"/>
      <c r="AC24" s="183"/>
      <c r="AD24" s="158"/>
      <c r="AE24" s="158"/>
      <c r="AF24" s="158"/>
      <c r="AG24" s="162"/>
      <c r="AH24" s="162"/>
      <c r="AI24" s="183"/>
      <c r="AJ24" s="183"/>
      <c r="AK24" s="183"/>
      <c r="AL24" s="183"/>
      <c r="AM24" s="158"/>
      <c r="AN24" s="158"/>
      <c r="AO24" s="158"/>
      <c r="AP24" s="158"/>
      <c r="AQ24" s="158"/>
      <c r="AR24" s="158"/>
      <c r="AS24" s="158"/>
      <c r="AT24" s="158"/>
      <c r="AU24" s="183"/>
      <c r="AV24" s="183"/>
      <c r="AW24" s="183"/>
      <c r="AX24" s="158"/>
      <c r="AY24" s="158"/>
      <c r="AZ24" s="158"/>
      <c r="BA24" s="188"/>
      <c r="BB24" s="34">
        <f t="shared" si="1"/>
        <v>0</v>
      </c>
    </row>
    <row r="25" spans="1:54" ht="72.75" customHeight="1" x14ac:dyDescent="0.25">
      <c r="A25" s="201"/>
      <c r="B25" s="207"/>
      <c r="C25" s="200"/>
      <c r="D25" s="41" t="s">
        <v>48</v>
      </c>
      <c r="E25" s="41" t="s">
        <v>49</v>
      </c>
      <c r="F25" s="41">
        <v>0.23</v>
      </c>
      <c r="G25" s="31" t="s">
        <v>51</v>
      </c>
      <c r="H25" s="32">
        <v>187</v>
      </c>
      <c r="I25" s="32">
        <f t="shared" si="3"/>
        <v>43.010000000000005</v>
      </c>
      <c r="J25" s="32" t="s">
        <v>36</v>
      </c>
      <c r="K25" s="33" t="s">
        <v>36</v>
      </c>
      <c r="L25" s="32">
        <f>I25</f>
        <v>43.010000000000005</v>
      </c>
      <c r="M25" s="158"/>
      <c r="N25" s="158"/>
      <c r="O25" s="158"/>
      <c r="P25" s="158"/>
      <c r="Q25" s="158"/>
      <c r="R25" s="183"/>
      <c r="S25" s="183"/>
      <c r="T25" s="183"/>
      <c r="U25" s="183"/>
      <c r="V25" s="183"/>
      <c r="W25" s="183"/>
      <c r="X25" s="183"/>
      <c r="Y25" s="158"/>
      <c r="Z25" s="183"/>
      <c r="AA25" s="183"/>
      <c r="AB25" s="183"/>
      <c r="AC25" s="183"/>
      <c r="AD25" s="158"/>
      <c r="AE25" s="158"/>
      <c r="AF25" s="158"/>
      <c r="AG25" s="162"/>
      <c r="AH25" s="162"/>
      <c r="AI25" s="183"/>
      <c r="AJ25" s="183"/>
      <c r="AK25" s="183"/>
      <c r="AL25" s="183"/>
      <c r="AM25" s="158"/>
      <c r="AN25" s="158"/>
      <c r="AO25" s="158"/>
      <c r="AP25" s="158"/>
      <c r="AQ25" s="158"/>
      <c r="AR25" s="158"/>
      <c r="AS25" s="158"/>
      <c r="AT25" s="158"/>
      <c r="AU25" s="183"/>
      <c r="AV25" s="183"/>
      <c r="AW25" s="183"/>
      <c r="AX25" s="158"/>
      <c r="AY25" s="158"/>
      <c r="AZ25" s="158"/>
      <c r="BA25" s="188"/>
      <c r="BB25" s="34">
        <f t="shared" si="1"/>
        <v>0</v>
      </c>
    </row>
    <row r="26" spans="1:54" ht="36" customHeight="1" x14ac:dyDescent="0.25">
      <c r="A26" s="201"/>
      <c r="B26" s="207"/>
      <c r="C26" s="200"/>
      <c r="D26" s="41" t="s">
        <v>52</v>
      </c>
      <c r="E26" s="41" t="s">
        <v>41</v>
      </c>
      <c r="F26" s="41">
        <v>1</v>
      </c>
      <c r="G26" s="31" t="s">
        <v>53</v>
      </c>
      <c r="H26" s="32">
        <v>500</v>
      </c>
      <c r="I26" s="32">
        <f t="shared" si="3"/>
        <v>500</v>
      </c>
      <c r="J26" s="32" t="s">
        <v>36</v>
      </c>
      <c r="K26" s="32" t="s">
        <v>36</v>
      </c>
      <c r="L26" s="32">
        <f>I26</f>
        <v>500</v>
      </c>
      <c r="M26" s="154"/>
      <c r="N26" s="154"/>
      <c r="O26" s="154"/>
      <c r="P26" s="154"/>
      <c r="Q26" s="154"/>
      <c r="R26" s="152"/>
      <c r="S26" s="152"/>
      <c r="T26" s="152"/>
      <c r="U26" s="152"/>
      <c r="V26" s="152"/>
      <c r="W26" s="152"/>
      <c r="X26" s="152"/>
      <c r="Y26" s="154"/>
      <c r="Z26" s="152"/>
      <c r="AA26" s="152"/>
      <c r="AB26" s="152"/>
      <c r="AC26" s="152"/>
      <c r="AD26" s="154"/>
      <c r="AE26" s="154"/>
      <c r="AF26" s="154"/>
      <c r="AG26" s="163"/>
      <c r="AH26" s="163"/>
      <c r="AI26" s="152"/>
      <c r="AJ26" s="152"/>
      <c r="AK26" s="152"/>
      <c r="AL26" s="152"/>
      <c r="AM26" s="154"/>
      <c r="AN26" s="154"/>
      <c r="AO26" s="154"/>
      <c r="AP26" s="154"/>
      <c r="AQ26" s="154"/>
      <c r="AR26" s="154"/>
      <c r="AS26" s="154"/>
      <c r="AT26" s="154"/>
      <c r="AU26" s="152"/>
      <c r="AV26" s="152"/>
      <c r="AW26" s="152"/>
      <c r="AX26" s="154"/>
      <c r="AY26" s="154"/>
      <c r="AZ26" s="154"/>
      <c r="BA26" s="189"/>
      <c r="BB26" s="34">
        <f t="shared" si="1"/>
        <v>0</v>
      </c>
    </row>
    <row r="27" spans="1:54" ht="79.5" customHeight="1" x14ac:dyDescent="0.25">
      <c r="A27" s="201">
        <v>4</v>
      </c>
      <c r="B27" s="207" t="s">
        <v>60</v>
      </c>
      <c r="C27" s="200">
        <v>35</v>
      </c>
      <c r="D27" s="41" t="s">
        <v>61</v>
      </c>
      <c r="E27" s="41" t="s">
        <v>33</v>
      </c>
      <c r="F27" s="41">
        <v>3</v>
      </c>
      <c r="G27" s="42" t="s">
        <v>62</v>
      </c>
      <c r="H27" s="32">
        <v>1060</v>
      </c>
      <c r="I27" s="32">
        <f t="shared" si="3"/>
        <v>3180</v>
      </c>
      <c r="J27" s="32" t="s">
        <v>54</v>
      </c>
      <c r="K27" s="33">
        <v>1.1000000000000001</v>
      </c>
      <c r="L27" s="32">
        <f t="shared" ref="L27:L36" si="5">I27*K27</f>
        <v>3498.0000000000005</v>
      </c>
      <c r="M27" s="159">
        <f>SUM(L27:L37)</f>
        <v>21793.789919999999</v>
      </c>
      <c r="N27" s="153">
        <f>M27*0.2</f>
        <v>4358.7579839999999</v>
      </c>
      <c r="O27" s="159">
        <f>M27+N27</f>
        <v>26152.547903999999</v>
      </c>
      <c r="P27" s="153">
        <f>O27*R27*S27</f>
        <v>29495.052746514433</v>
      </c>
      <c r="Q27" s="153">
        <f>SUM(X27:AC37)</f>
        <v>29495.052746514433</v>
      </c>
      <c r="R27" s="151">
        <v>1.0680000000000001</v>
      </c>
      <c r="S27" s="151">
        <v>1.056</v>
      </c>
      <c r="T27" s="151">
        <v>1.054</v>
      </c>
      <c r="U27" s="151">
        <v>1.0509999999999999</v>
      </c>
      <c r="V27" s="151">
        <v>1.0489999999999999</v>
      </c>
      <c r="W27" s="151">
        <v>1.0469999999999999</v>
      </c>
      <c r="X27" s="153">
        <v>0</v>
      </c>
      <c r="Y27" s="153">
        <f>O27*R27*S27</f>
        <v>29495.052746514433</v>
      </c>
      <c r="Z27" s="153">
        <v>0</v>
      </c>
      <c r="AA27" s="153">
        <v>0</v>
      </c>
      <c r="AB27" s="153">
        <v>0</v>
      </c>
      <c r="AC27" s="153">
        <v>0</v>
      </c>
      <c r="AD27" s="153">
        <f>O27</f>
        <v>26152.547903999999</v>
      </c>
      <c r="AE27" s="153">
        <f>AD27*AG27*AH27</f>
        <v>29495.052746514433</v>
      </c>
      <c r="AF27" s="153">
        <f>AM27+AN27+AO27+AP27+AQ27+AR27</f>
        <v>29495.052746514433</v>
      </c>
      <c r="AG27" s="151">
        <v>1.0680000000000001</v>
      </c>
      <c r="AH27" s="151">
        <v>1.056</v>
      </c>
      <c r="AI27" s="151">
        <v>1.0489999999999999</v>
      </c>
      <c r="AJ27" s="151">
        <v>1.139</v>
      </c>
      <c r="AK27" s="151">
        <v>1.0589999999999999</v>
      </c>
      <c r="AL27" s="151">
        <v>1.0529999999999999</v>
      </c>
      <c r="AM27" s="153">
        <v>0</v>
      </c>
      <c r="AN27" s="153">
        <f>AD27*AG27*AH27</f>
        <v>29495.052746514433</v>
      </c>
      <c r="AO27" s="153">
        <v>0</v>
      </c>
      <c r="AP27" s="153">
        <v>0</v>
      </c>
      <c r="AQ27" s="153">
        <v>0</v>
      </c>
      <c r="AR27" s="153">
        <v>0</v>
      </c>
      <c r="AS27" s="153">
        <v>26152.547903999999</v>
      </c>
      <c r="AT27" s="153">
        <v>29829.282308727557</v>
      </c>
      <c r="AU27" s="151">
        <v>1.0740000000000001</v>
      </c>
      <c r="AV27" s="151">
        <v>1.0369999999999999</v>
      </c>
      <c r="AW27" s="151">
        <v>1.0389999999999999</v>
      </c>
      <c r="AX27" s="153">
        <v>0</v>
      </c>
      <c r="AY27" s="153">
        <v>29829.282308727557</v>
      </c>
      <c r="AZ27" s="153">
        <v>0</v>
      </c>
      <c r="BA27" s="187">
        <f>AS9-O9</f>
        <v>0</v>
      </c>
      <c r="BB27" s="34">
        <f t="shared" si="1"/>
        <v>24579.210622095361</v>
      </c>
    </row>
    <row r="28" spans="1:54" ht="75.75" customHeight="1" x14ac:dyDescent="0.25">
      <c r="A28" s="201"/>
      <c r="B28" s="207"/>
      <c r="C28" s="200"/>
      <c r="D28" s="41" t="s">
        <v>63</v>
      </c>
      <c r="E28" s="41" t="s">
        <v>37</v>
      </c>
      <c r="F28" s="41">
        <v>2</v>
      </c>
      <c r="G28" s="42" t="s">
        <v>64</v>
      </c>
      <c r="H28" s="32">
        <v>928</v>
      </c>
      <c r="I28" s="32">
        <f t="shared" si="3"/>
        <v>1856</v>
      </c>
      <c r="J28" s="32" t="s">
        <v>59</v>
      </c>
      <c r="K28" s="33">
        <v>1.03</v>
      </c>
      <c r="L28" s="32">
        <f t="shared" si="5"/>
        <v>1911.68</v>
      </c>
      <c r="M28" s="159"/>
      <c r="N28" s="158"/>
      <c r="O28" s="159"/>
      <c r="P28" s="158"/>
      <c r="Q28" s="158"/>
      <c r="R28" s="183"/>
      <c r="S28" s="183"/>
      <c r="T28" s="183"/>
      <c r="U28" s="183"/>
      <c r="V28" s="183"/>
      <c r="W28" s="183"/>
      <c r="X28" s="158"/>
      <c r="Y28" s="158"/>
      <c r="Z28" s="158"/>
      <c r="AA28" s="158"/>
      <c r="AB28" s="158"/>
      <c r="AC28" s="158"/>
      <c r="AD28" s="158"/>
      <c r="AE28" s="158"/>
      <c r="AF28" s="158"/>
      <c r="AG28" s="183"/>
      <c r="AH28" s="183"/>
      <c r="AI28" s="183"/>
      <c r="AJ28" s="183"/>
      <c r="AK28" s="183"/>
      <c r="AL28" s="183"/>
      <c r="AM28" s="158"/>
      <c r="AN28" s="158"/>
      <c r="AO28" s="158"/>
      <c r="AP28" s="158"/>
      <c r="AQ28" s="158"/>
      <c r="AR28" s="158"/>
      <c r="AS28" s="158"/>
      <c r="AT28" s="158"/>
      <c r="AU28" s="183"/>
      <c r="AV28" s="183"/>
      <c r="AW28" s="183"/>
      <c r="AX28" s="158"/>
      <c r="AY28" s="158"/>
      <c r="AZ28" s="158"/>
      <c r="BA28" s="188"/>
      <c r="BB28" s="34">
        <f t="shared" si="1"/>
        <v>0</v>
      </c>
    </row>
    <row r="29" spans="1:54" ht="53.25" customHeight="1" x14ac:dyDescent="0.25">
      <c r="A29" s="201"/>
      <c r="B29" s="207"/>
      <c r="C29" s="200"/>
      <c r="D29" s="41" t="s">
        <v>65</v>
      </c>
      <c r="E29" s="41" t="s">
        <v>33</v>
      </c>
      <c r="F29" s="41">
        <v>6</v>
      </c>
      <c r="G29" s="42" t="s">
        <v>66</v>
      </c>
      <c r="H29" s="32">
        <v>932</v>
      </c>
      <c r="I29" s="32">
        <f t="shared" si="3"/>
        <v>5592</v>
      </c>
      <c r="J29" s="32" t="s">
        <v>67</v>
      </c>
      <c r="K29" s="33">
        <v>1.04</v>
      </c>
      <c r="L29" s="32">
        <f t="shared" si="5"/>
        <v>5815.68</v>
      </c>
      <c r="M29" s="159"/>
      <c r="N29" s="158"/>
      <c r="O29" s="159"/>
      <c r="P29" s="158"/>
      <c r="Q29" s="158"/>
      <c r="R29" s="183"/>
      <c r="S29" s="183"/>
      <c r="T29" s="183"/>
      <c r="U29" s="183"/>
      <c r="V29" s="183"/>
      <c r="W29" s="183"/>
      <c r="X29" s="158"/>
      <c r="Y29" s="158"/>
      <c r="Z29" s="158"/>
      <c r="AA29" s="158"/>
      <c r="AB29" s="158"/>
      <c r="AC29" s="158"/>
      <c r="AD29" s="158"/>
      <c r="AE29" s="158"/>
      <c r="AF29" s="158"/>
      <c r="AG29" s="183"/>
      <c r="AH29" s="183"/>
      <c r="AI29" s="183"/>
      <c r="AJ29" s="183"/>
      <c r="AK29" s="183"/>
      <c r="AL29" s="183"/>
      <c r="AM29" s="158"/>
      <c r="AN29" s="158"/>
      <c r="AO29" s="158"/>
      <c r="AP29" s="158"/>
      <c r="AQ29" s="158"/>
      <c r="AR29" s="158"/>
      <c r="AS29" s="158"/>
      <c r="AT29" s="158"/>
      <c r="AU29" s="183"/>
      <c r="AV29" s="183"/>
      <c r="AW29" s="183"/>
      <c r="AX29" s="158"/>
      <c r="AY29" s="158"/>
      <c r="AZ29" s="158"/>
      <c r="BA29" s="188"/>
      <c r="BB29" s="34">
        <f t="shared" si="1"/>
        <v>0</v>
      </c>
    </row>
    <row r="30" spans="1:54" ht="53.25" customHeight="1" x14ac:dyDescent="0.25">
      <c r="A30" s="201"/>
      <c r="B30" s="207"/>
      <c r="C30" s="200"/>
      <c r="D30" s="41" t="s">
        <v>70</v>
      </c>
      <c r="E30" s="41" t="s">
        <v>33</v>
      </c>
      <c r="F30" s="41">
        <v>15</v>
      </c>
      <c r="G30" s="42" t="s">
        <v>71</v>
      </c>
      <c r="H30" s="32">
        <v>56</v>
      </c>
      <c r="I30" s="32">
        <f t="shared" si="3"/>
        <v>840</v>
      </c>
      <c r="J30" s="32" t="s">
        <v>67</v>
      </c>
      <c r="K30" s="33">
        <v>1.04</v>
      </c>
      <c r="L30" s="32">
        <f t="shared" si="5"/>
        <v>873.6</v>
      </c>
      <c r="M30" s="159"/>
      <c r="N30" s="158"/>
      <c r="O30" s="159"/>
      <c r="P30" s="158"/>
      <c r="Q30" s="158"/>
      <c r="R30" s="183"/>
      <c r="S30" s="183"/>
      <c r="T30" s="183"/>
      <c r="U30" s="183"/>
      <c r="V30" s="183"/>
      <c r="W30" s="183"/>
      <c r="X30" s="158"/>
      <c r="Y30" s="158"/>
      <c r="Z30" s="158"/>
      <c r="AA30" s="158"/>
      <c r="AB30" s="158"/>
      <c r="AC30" s="158"/>
      <c r="AD30" s="158"/>
      <c r="AE30" s="158"/>
      <c r="AF30" s="158"/>
      <c r="AG30" s="183"/>
      <c r="AH30" s="183"/>
      <c r="AI30" s="183"/>
      <c r="AJ30" s="183"/>
      <c r="AK30" s="183"/>
      <c r="AL30" s="183"/>
      <c r="AM30" s="158"/>
      <c r="AN30" s="158"/>
      <c r="AO30" s="158"/>
      <c r="AP30" s="158"/>
      <c r="AQ30" s="158"/>
      <c r="AR30" s="158"/>
      <c r="AS30" s="158"/>
      <c r="AT30" s="158"/>
      <c r="AU30" s="183"/>
      <c r="AV30" s="183"/>
      <c r="AW30" s="183"/>
      <c r="AX30" s="158"/>
      <c r="AY30" s="158"/>
      <c r="AZ30" s="158"/>
      <c r="BA30" s="188"/>
      <c r="BB30" s="34">
        <f t="shared" si="1"/>
        <v>0</v>
      </c>
    </row>
    <row r="31" spans="1:54" ht="53.25" customHeight="1" x14ac:dyDescent="0.25">
      <c r="A31" s="201"/>
      <c r="B31" s="207"/>
      <c r="C31" s="200"/>
      <c r="D31" s="41" t="s">
        <v>222</v>
      </c>
      <c r="E31" s="41" t="s">
        <v>33</v>
      </c>
      <c r="F31" s="41">
        <v>2</v>
      </c>
      <c r="G31" s="42" t="s">
        <v>74</v>
      </c>
      <c r="H31" s="32">
        <v>1397</v>
      </c>
      <c r="I31" s="32">
        <f t="shared" si="3"/>
        <v>2794</v>
      </c>
      <c r="J31" s="32" t="s">
        <v>100</v>
      </c>
      <c r="K31" s="33">
        <v>1.04</v>
      </c>
      <c r="L31" s="32">
        <f t="shared" si="5"/>
        <v>2905.76</v>
      </c>
      <c r="M31" s="159"/>
      <c r="N31" s="158"/>
      <c r="O31" s="159"/>
      <c r="P31" s="158"/>
      <c r="Q31" s="158"/>
      <c r="R31" s="183"/>
      <c r="S31" s="183"/>
      <c r="T31" s="183"/>
      <c r="U31" s="183"/>
      <c r="V31" s="183"/>
      <c r="W31" s="183"/>
      <c r="X31" s="158"/>
      <c r="Y31" s="158"/>
      <c r="Z31" s="158"/>
      <c r="AA31" s="158"/>
      <c r="AB31" s="158"/>
      <c r="AC31" s="158"/>
      <c r="AD31" s="158"/>
      <c r="AE31" s="158"/>
      <c r="AF31" s="158"/>
      <c r="AG31" s="183"/>
      <c r="AH31" s="183"/>
      <c r="AI31" s="183"/>
      <c r="AJ31" s="183"/>
      <c r="AK31" s="183"/>
      <c r="AL31" s="183"/>
      <c r="AM31" s="158"/>
      <c r="AN31" s="158"/>
      <c r="AO31" s="158"/>
      <c r="AP31" s="158"/>
      <c r="AQ31" s="158"/>
      <c r="AR31" s="158"/>
      <c r="AS31" s="158"/>
      <c r="AT31" s="158"/>
      <c r="AU31" s="183"/>
      <c r="AV31" s="183"/>
      <c r="AW31" s="183"/>
      <c r="AX31" s="158"/>
      <c r="AY31" s="158"/>
      <c r="AZ31" s="158"/>
      <c r="BA31" s="188"/>
    </row>
    <row r="32" spans="1:54" ht="53.25" customHeight="1" x14ac:dyDescent="0.25">
      <c r="A32" s="201"/>
      <c r="B32" s="207"/>
      <c r="C32" s="200"/>
      <c r="D32" s="41" t="s">
        <v>223</v>
      </c>
      <c r="E32" s="41" t="s">
        <v>33</v>
      </c>
      <c r="F32" s="41">
        <v>1</v>
      </c>
      <c r="G32" s="42" t="s">
        <v>74</v>
      </c>
      <c r="H32" s="32">
        <v>1158</v>
      </c>
      <c r="I32" s="32">
        <f t="shared" si="3"/>
        <v>1158</v>
      </c>
      <c r="J32" s="32" t="s">
        <v>100</v>
      </c>
      <c r="K32" s="33">
        <v>1.04</v>
      </c>
      <c r="L32" s="32">
        <f t="shared" si="5"/>
        <v>1204.32</v>
      </c>
      <c r="M32" s="159"/>
      <c r="N32" s="158"/>
      <c r="O32" s="159"/>
      <c r="P32" s="158"/>
      <c r="Q32" s="158"/>
      <c r="R32" s="183"/>
      <c r="S32" s="183"/>
      <c r="T32" s="183"/>
      <c r="U32" s="183"/>
      <c r="V32" s="183"/>
      <c r="W32" s="183"/>
      <c r="X32" s="158"/>
      <c r="Y32" s="158"/>
      <c r="Z32" s="158"/>
      <c r="AA32" s="158"/>
      <c r="AB32" s="158"/>
      <c r="AC32" s="158"/>
      <c r="AD32" s="158"/>
      <c r="AE32" s="158"/>
      <c r="AF32" s="158"/>
      <c r="AG32" s="183"/>
      <c r="AH32" s="183"/>
      <c r="AI32" s="183"/>
      <c r="AJ32" s="183"/>
      <c r="AK32" s="183"/>
      <c r="AL32" s="183"/>
      <c r="AM32" s="158"/>
      <c r="AN32" s="158"/>
      <c r="AO32" s="158"/>
      <c r="AP32" s="158"/>
      <c r="AQ32" s="158"/>
      <c r="AR32" s="158"/>
      <c r="AS32" s="158"/>
      <c r="AT32" s="158"/>
      <c r="AU32" s="183"/>
      <c r="AV32" s="183"/>
      <c r="AW32" s="183"/>
      <c r="AX32" s="158"/>
      <c r="AY32" s="158"/>
      <c r="AZ32" s="158"/>
      <c r="BA32" s="188"/>
    </row>
    <row r="33" spans="1:55" ht="53.25" customHeight="1" x14ac:dyDescent="0.25">
      <c r="A33" s="201"/>
      <c r="B33" s="207"/>
      <c r="C33" s="200"/>
      <c r="D33" s="41" t="s">
        <v>224</v>
      </c>
      <c r="E33" s="41" t="s">
        <v>33</v>
      </c>
      <c r="F33" s="41">
        <v>1</v>
      </c>
      <c r="G33" s="42" t="s">
        <v>74</v>
      </c>
      <c r="H33" s="32">
        <v>1223</v>
      </c>
      <c r="I33" s="32">
        <f t="shared" si="3"/>
        <v>1223</v>
      </c>
      <c r="J33" s="32" t="s">
        <v>100</v>
      </c>
      <c r="K33" s="33">
        <v>1.04</v>
      </c>
      <c r="L33" s="32">
        <f t="shared" si="5"/>
        <v>1271.92</v>
      </c>
      <c r="M33" s="159"/>
      <c r="N33" s="158"/>
      <c r="O33" s="159"/>
      <c r="P33" s="158"/>
      <c r="Q33" s="158"/>
      <c r="R33" s="183"/>
      <c r="S33" s="183"/>
      <c r="T33" s="183"/>
      <c r="U33" s="183"/>
      <c r="V33" s="183"/>
      <c r="W33" s="183"/>
      <c r="X33" s="158"/>
      <c r="Y33" s="158"/>
      <c r="Z33" s="158"/>
      <c r="AA33" s="158"/>
      <c r="AB33" s="158"/>
      <c r="AC33" s="158"/>
      <c r="AD33" s="158"/>
      <c r="AE33" s="158"/>
      <c r="AF33" s="158"/>
      <c r="AG33" s="183"/>
      <c r="AH33" s="183"/>
      <c r="AI33" s="183"/>
      <c r="AJ33" s="183"/>
      <c r="AK33" s="183"/>
      <c r="AL33" s="183"/>
      <c r="AM33" s="158"/>
      <c r="AN33" s="158"/>
      <c r="AO33" s="158"/>
      <c r="AP33" s="158"/>
      <c r="AQ33" s="158"/>
      <c r="AR33" s="158"/>
      <c r="AS33" s="158"/>
      <c r="AT33" s="158"/>
      <c r="AU33" s="183"/>
      <c r="AV33" s="183"/>
      <c r="AW33" s="183"/>
      <c r="AX33" s="158"/>
      <c r="AY33" s="158"/>
      <c r="AZ33" s="158"/>
      <c r="BA33" s="188"/>
    </row>
    <row r="34" spans="1:55" ht="53.25" customHeight="1" x14ac:dyDescent="0.25">
      <c r="A34" s="201"/>
      <c r="B34" s="207"/>
      <c r="C34" s="200"/>
      <c r="D34" s="41" t="s">
        <v>225</v>
      </c>
      <c r="E34" s="41" t="s">
        <v>33</v>
      </c>
      <c r="F34" s="41">
        <v>1</v>
      </c>
      <c r="G34" s="42" t="s">
        <v>74</v>
      </c>
      <c r="H34" s="32">
        <v>717</v>
      </c>
      <c r="I34" s="32">
        <f t="shared" si="3"/>
        <v>717</v>
      </c>
      <c r="J34" s="32" t="s">
        <v>226</v>
      </c>
      <c r="K34" s="33">
        <v>2.04</v>
      </c>
      <c r="L34" s="32">
        <f t="shared" si="5"/>
        <v>1462.68</v>
      </c>
      <c r="M34" s="159"/>
      <c r="N34" s="158"/>
      <c r="O34" s="159"/>
      <c r="P34" s="158"/>
      <c r="Q34" s="158"/>
      <c r="R34" s="183"/>
      <c r="S34" s="183"/>
      <c r="T34" s="183"/>
      <c r="U34" s="183"/>
      <c r="V34" s="183"/>
      <c r="W34" s="183"/>
      <c r="X34" s="158"/>
      <c r="Y34" s="158"/>
      <c r="Z34" s="158"/>
      <c r="AA34" s="158"/>
      <c r="AB34" s="158"/>
      <c r="AC34" s="158"/>
      <c r="AD34" s="158"/>
      <c r="AE34" s="158"/>
      <c r="AF34" s="158"/>
      <c r="AG34" s="183"/>
      <c r="AH34" s="183"/>
      <c r="AI34" s="183"/>
      <c r="AJ34" s="183"/>
      <c r="AK34" s="183"/>
      <c r="AL34" s="183"/>
      <c r="AM34" s="158"/>
      <c r="AN34" s="158"/>
      <c r="AO34" s="158"/>
      <c r="AP34" s="158"/>
      <c r="AQ34" s="158"/>
      <c r="AR34" s="158"/>
      <c r="AS34" s="158"/>
      <c r="AT34" s="158"/>
      <c r="AU34" s="183"/>
      <c r="AV34" s="183"/>
      <c r="AW34" s="183"/>
      <c r="AX34" s="158"/>
      <c r="AY34" s="158"/>
      <c r="AZ34" s="158"/>
      <c r="BA34" s="188"/>
    </row>
    <row r="35" spans="1:55" ht="53.25" customHeight="1" x14ac:dyDescent="0.25">
      <c r="A35" s="201"/>
      <c r="B35" s="207"/>
      <c r="C35" s="200"/>
      <c r="D35" s="41" t="s">
        <v>227</v>
      </c>
      <c r="E35" s="41" t="s">
        <v>34</v>
      </c>
      <c r="F35" s="41">
        <v>2.839</v>
      </c>
      <c r="G35" s="42" t="s">
        <v>228</v>
      </c>
      <c r="H35" s="32">
        <v>168</v>
      </c>
      <c r="I35" s="32">
        <f t="shared" si="3"/>
        <v>476.952</v>
      </c>
      <c r="J35" s="32" t="s">
        <v>144</v>
      </c>
      <c r="K35" s="33">
        <v>1.1200000000000001</v>
      </c>
      <c r="L35" s="32">
        <f t="shared" si="5"/>
        <v>534.18624</v>
      </c>
      <c r="M35" s="159"/>
      <c r="N35" s="158"/>
      <c r="O35" s="159"/>
      <c r="P35" s="158"/>
      <c r="Q35" s="158"/>
      <c r="R35" s="183"/>
      <c r="S35" s="183"/>
      <c r="T35" s="183"/>
      <c r="U35" s="183"/>
      <c r="V35" s="183"/>
      <c r="W35" s="183"/>
      <c r="X35" s="158"/>
      <c r="Y35" s="158"/>
      <c r="Z35" s="158"/>
      <c r="AA35" s="158"/>
      <c r="AB35" s="158"/>
      <c r="AC35" s="158"/>
      <c r="AD35" s="158"/>
      <c r="AE35" s="158"/>
      <c r="AF35" s="158"/>
      <c r="AG35" s="183"/>
      <c r="AH35" s="183"/>
      <c r="AI35" s="183"/>
      <c r="AJ35" s="183"/>
      <c r="AK35" s="183"/>
      <c r="AL35" s="183"/>
      <c r="AM35" s="158"/>
      <c r="AN35" s="158"/>
      <c r="AO35" s="158"/>
      <c r="AP35" s="158"/>
      <c r="AQ35" s="158"/>
      <c r="AR35" s="158"/>
      <c r="AS35" s="158"/>
      <c r="AT35" s="158"/>
      <c r="AU35" s="183"/>
      <c r="AV35" s="183"/>
      <c r="AW35" s="183"/>
      <c r="AX35" s="158"/>
      <c r="AY35" s="158"/>
      <c r="AZ35" s="158"/>
      <c r="BA35" s="188"/>
    </row>
    <row r="36" spans="1:55" ht="53.25" customHeight="1" x14ac:dyDescent="0.25">
      <c r="A36" s="201"/>
      <c r="B36" s="207"/>
      <c r="C36" s="200"/>
      <c r="D36" s="41" t="s">
        <v>229</v>
      </c>
      <c r="E36" s="41" t="s">
        <v>34</v>
      </c>
      <c r="F36" s="41">
        <v>3.661</v>
      </c>
      <c r="G36" s="42" t="s">
        <v>230</v>
      </c>
      <c r="H36" s="32">
        <v>199</v>
      </c>
      <c r="I36" s="32">
        <f t="shared" si="3"/>
        <v>728.53899999999999</v>
      </c>
      <c r="J36" s="32" t="s">
        <v>144</v>
      </c>
      <c r="K36" s="33">
        <v>1.1200000000000001</v>
      </c>
      <c r="L36" s="32">
        <f t="shared" si="5"/>
        <v>815.96368000000007</v>
      </c>
      <c r="M36" s="159"/>
      <c r="N36" s="158"/>
      <c r="O36" s="159"/>
      <c r="P36" s="158"/>
      <c r="Q36" s="158"/>
      <c r="R36" s="183"/>
      <c r="S36" s="183"/>
      <c r="T36" s="183"/>
      <c r="U36" s="183"/>
      <c r="V36" s="183"/>
      <c r="W36" s="183"/>
      <c r="X36" s="158"/>
      <c r="Y36" s="158"/>
      <c r="Z36" s="158"/>
      <c r="AA36" s="158"/>
      <c r="AB36" s="158"/>
      <c r="AC36" s="158"/>
      <c r="AD36" s="158"/>
      <c r="AE36" s="158"/>
      <c r="AF36" s="158"/>
      <c r="AG36" s="183"/>
      <c r="AH36" s="183"/>
      <c r="AI36" s="183"/>
      <c r="AJ36" s="183"/>
      <c r="AK36" s="183"/>
      <c r="AL36" s="183"/>
      <c r="AM36" s="158"/>
      <c r="AN36" s="158"/>
      <c r="AO36" s="158"/>
      <c r="AP36" s="158"/>
      <c r="AQ36" s="158"/>
      <c r="AR36" s="158"/>
      <c r="AS36" s="158"/>
      <c r="AT36" s="158"/>
      <c r="AU36" s="183"/>
      <c r="AV36" s="183"/>
      <c r="AW36" s="183"/>
      <c r="AX36" s="158"/>
      <c r="AY36" s="158"/>
      <c r="AZ36" s="158"/>
      <c r="BA36" s="188"/>
    </row>
    <row r="37" spans="1:55" ht="52.5" customHeight="1" x14ac:dyDescent="0.25">
      <c r="A37" s="201"/>
      <c r="B37" s="207"/>
      <c r="C37" s="200"/>
      <c r="D37" s="41" t="s">
        <v>68</v>
      </c>
      <c r="E37" s="41" t="s">
        <v>41</v>
      </c>
      <c r="F37" s="41">
        <v>1</v>
      </c>
      <c r="G37" s="31" t="s">
        <v>69</v>
      </c>
      <c r="H37" s="32">
        <v>1500</v>
      </c>
      <c r="I37" s="32">
        <f t="shared" si="3"/>
        <v>1500</v>
      </c>
      <c r="J37" s="32" t="s">
        <v>36</v>
      </c>
      <c r="K37" s="33" t="s">
        <v>36</v>
      </c>
      <c r="L37" s="32">
        <f>I37</f>
        <v>1500</v>
      </c>
      <c r="M37" s="159"/>
      <c r="N37" s="154"/>
      <c r="O37" s="159"/>
      <c r="P37" s="154"/>
      <c r="Q37" s="154"/>
      <c r="R37" s="152"/>
      <c r="S37" s="152"/>
      <c r="T37" s="152"/>
      <c r="U37" s="152"/>
      <c r="V37" s="152"/>
      <c r="W37" s="152"/>
      <c r="X37" s="154"/>
      <c r="Y37" s="154"/>
      <c r="Z37" s="154"/>
      <c r="AA37" s="154"/>
      <c r="AB37" s="154"/>
      <c r="AC37" s="154"/>
      <c r="AD37" s="154"/>
      <c r="AE37" s="154"/>
      <c r="AF37" s="154"/>
      <c r="AG37" s="152"/>
      <c r="AH37" s="152"/>
      <c r="AI37" s="152"/>
      <c r="AJ37" s="152"/>
      <c r="AK37" s="152"/>
      <c r="AL37" s="152"/>
      <c r="AM37" s="154"/>
      <c r="AN37" s="154"/>
      <c r="AO37" s="154"/>
      <c r="AP37" s="154"/>
      <c r="AQ37" s="154"/>
      <c r="AR37" s="154"/>
      <c r="AS37" s="154"/>
      <c r="AT37" s="154"/>
      <c r="AU37" s="152"/>
      <c r="AV37" s="152"/>
      <c r="AW37" s="152"/>
      <c r="AX37" s="154"/>
      <c r="AY37" s="154"/>
      <c r="AZ37" s="154"/>
      <c r="BA37" s="189"/>
      <c r="BB37" s="34">
        <f t="shared" si="1"/>
        <v>0</v>
      </c>
    </row>
    <row r="38" spans="1:55" ht="52.5" customHeight="1" x14ac:dyDescent="0.35">
      <c r="A38" s="168">
        <v>5</v>
      </c>
      <c r="B38" s="166" t="s">
        <v>246</v>
      </c>
      <c r="C38" s="166">
        <v>35</v>
      </c>
      <c r="D38" s="41" t="s">
        <v>73</v>
      </c>
      <c r="E38" s="41" t="s">
        <v>33</v>
      </c>
      <c r="F38" s="41">
        <v>2</v>
      </c>
      <c r="G38" s="42" t="s">
        <v>74</v>
      </c>
      <c r="H38" s="32">
        <v>1273</v>
      </c>
      <c r="I38" s="32">
        <f t="shared" ref="I38:I40" si="6">F38*H38</f>
        <v>2546</v>
      </c>
      <c r="J38" s="32" t="s">
        <v>54</v>
      </c>
      <c r="K38" s="33">
        <v>1.1000000000000001</v>
      </c>
      <c r="L38" s="32">
        <f t="shared" ref="L38:L39" si="7">I38*K38</f>
        <v>2800.6000000000004</v>
      </c>
      <c r="M38" s="153">
        <f>SUM(L38:L41)</f>
        <v>19889.3</v>
      </c>
      <c r="N38" s="153">
        <f>M38*0.2</f>
        <v>3977.86</v>
      </c>
      <c r="O38" s="153">
        <f>M38+N38</f>
        <v>23867.16</v>
      </c>
      <c r="P38" s="153">
        <f>L40*R38*1.2+(L38+L39+L41)*1.2*R38*S38</f>
        <v>26717.767418879997</v>
      </c>
      <c r="Q38" s="153">
        <f>P38</f>
        <v>26717.767418879997</v>
      </c>
      <c r="R38" s="151">
        <v>1.0680000000000001</v>
      </c>
      <c r="S38" s="151">
        <v>1.056</v>
      </c>
      <c r="T38" s="151">
        <v>1.054</v>
      </c>
      <c r="U38" s="151">
        <v>1.0509999999999999</v>
      </c>
      <c r="V38" s="151">
        <v>1.0489999999999999</v>
      </c>
      <c r="W38" s="151">
        <v>1.0469999999999999</v>
      </c>
      <c r="X38" s="153">
        <f>L40*1.2*R38</f>
        <v>3567.9744000000001</v>
      </c>
      <c r="Y38" s="153">
        <f>(L38+L39+L41)*1.2*R38*S38</f>
        <v>23149.793018879998</v>
      </c>
      <c r="Z38" s="153">
        <v>0</v>
      </c>
      <c r="AA38" s="153">
        <v>0</v>
      </c>
      <c r="AB38" s="153">
        <v>0</v>
      </c>
      <c r="AC38" s="153">
        <v>0</v>
      </c>
      <c r="AD38" s="153">
        <f>M38*1.2</f>
        <v>23867.16</v>
      </c>
      <c r="AE38" s="153">
        <f>AM38+AN38</f>
        <v>26717.767418879997</v>
      </c>
      <c r="AF38" s="153">
        <f>AM38+AN38+AO38+AP38+AQ38+AR38</f>
        <v>26717.767418879997</v>
      </c>
      <c r="AG38" s="151">
        <v>1.0680000000000001</v>
      </c>
      <c r="AH38" s="151">
        <v>1.056</v>
      </c>
      <c r="AI38" s="151">
        <v>1.0489999999999999</v>
      </c>
      <c r="AJ38" s="151">
        <v>1.139</v>
      </c>
      <c r="AK38" s="151">
        <v>1.0589999999999999</v>
      </c>
      <c r="AL38" s="151">
        <v>1.0529999999999999</v>
      </c>
      <c r="AM38" s="153">
        <f>L40*AG38*1.2</f>
        <v>3567.9744000000005</v>
      </c>
      <c r="AN38" s="153">
        <f>(L38+L39+L41)*1.2*AG38*AH38</f>
        <v>23149.793018879998</v>
      </c>
      <c r="AO38" s="153">
        <v>0</v>
      </c>
      <c r="AP38" s="153">
        <v>0</v>
      </c>
      <c r="AQ38" s="153">
        <v>0</v>
      </c>
      <c r="AR38" s="153">
        <v>0</v>
      </c>
      <c r="AS38" s="153">
        <f>O38</f>
        <v>23867.16</v>
      </c>
      <c r="AT38" s="153">
        <f>AX38+AY38+AZ38</f>
        <v>30169.782244079997</v>
      </c>
      <c r="AU38" s="151">
        <v>1.0740000000000001</v>
      </c>
      <c r="AV38" s="151">
        <v>1.0369999999999999</v>
      </c>
      <c r="AW38" s="151">
        <v>1.0389999999999999</v>
      </c>
      <c r="AX38" s="153">
        <f>L40*1.2*AU38</f>
        <v>3588.0191999999997</v>
      </c>
      <c r="AY38" s="153">
        <f>(AS38*AU38*AV38)</f>
        <v>26581.763044079999</v>
      </c>
      <c r="AZ38" s="153">
        <v>0</v>
      </c>
      <c r="BA38" s="187">
        <f>AS38-O38</f>
        <v>0</v>
      </c>
      <c r="BC38" s="76"/>
    </row>
    <row r="39" spans="1:55" ht="79.5" customHeight="1" x14ac:dyDescent="0.35">
      <c r="A39" s="190"/>
      <c r="B39" s="191"/>
      <c r="C39" s="191"/>
      <c r="D39" s="41" t="s">
        <v>87</v>
      </c>
      <c r="E39" s="41" t="s">
        <v>37</v>
      </c>
      <c r="F39" s="41">
        <v>2</v>
      </c>
      <c r="G39" s="42" t="s">
        <v>75</v>
      </c>
      <c r="H39" s="32">
        <v>5518</v>
      </c>
      <c r="I39" s="32">
        <f t="shared" si="6"/>
        <v>11036</v>
      </c>
      <c r="J39" s="32" t="s">
        <v>54</v>
      </c>
      <c r="K39" s="33">
        <v>1.1000000000000001</v>
      </c>
      <c r="L39" s="32">
        <f t="shared" si="7"/>
        <v>12139.6</v>
      </c>
      <c r="M39" s="158"/>
      <c r="N39" s="158"/>
      <c r="O39" s="158"/>
      <c r="P39" s="158"/>
      <c r="Q39" s="158"/>
      <c r="R39" s="183"/>
      <c r="S39" s="183"/>
      <c r="T39" s="183"/>
      <c r="U39" s="183"/>
      <c r="V39" s="183"/>
      <c r="W39" s="183"/>
      <c r="X39" s="158"/>
      <c r="Y39" s="158"/>
      <c r="Z39" s="158"/>
      <c r="AA39" s="158"/>
      <c r="AB39" s="158"/>
      <c r="AC39" s="158"/>
      <c r="AD39" s="158"/>
      <c r="AE39" s="158"/>
      <c r="AF39" s="158"/>
      <c r="AG39" s="183"/>
      <c r="AH39" s="183"/>
      <c r="AI39" s="183"/>
      <c r="AJ39" s="183"/>
      <c r="AK39" s="183"/>
      <c r="AL39" s="183"/>
      <c r="AM39" s="158"/>
      <c r="AN39" s="158"/>
      <c r="AO39" s="158"/>
      <c r="AP39" s="158"/>
      <c r="AQ39" s="158"/>
      <c r="AR39" s="158"/>
      <c r="AS39" s="158"/>
      <c r="AT39" s="158"/>
      <c r="AU39" s="183"/>
      <c r="AV39" s="183"/>
      <c r="AW39" s="183"/>
      <c r="AX39" s="158"/>
      <c r="AY39" s="158"/>
      <c r="AZ39" s="158"/>
      <c r="BA39" s="188"/>
      <c r="BC39" s="76"/>
    </row>
    <row r="40" spans="1:55" ht="79.5" customHeight="1" x14ac:dyDescent="0.35">
      <c r="A40" s="190"/>
      <c r="B40" s="191"/>
      <c r="C40" s="191"/>
      <c r="D40" s="41" t="s">
        <v>168</v>
      </c>
      <c r="E40" s="41" t="s">
        <v>169</v>
      </c>
      <c r="F40" s="41">
        <v>2</v>
      </c>
      <c r="G40" s="42" t="s">
        <v>170</v>
      </c>
      <c r="H40" s="32">
        <v>1392</v>
      </c>
      <c r="I40" s="32">
        <f t="shared" si="6"/>
        <v>2784</v>
      </c>
      <c r="J40" s="32" t="s">
        <v>36</v>
      </c>
      <c r="K40" s="33" t="s">
        <v>36</v>
      </c>
      <c r="L40" s="32">
        <f>I40</f>
        <v>2784</v>
      </c>
      <c r="M40" s="158"/>
      <c r="N40" s="158"/>
      <c r="O40" s="158"/>
      <c r="P40" s="158"/>
      <c r="Q40" s="158"/>
      <c r="R40" s="183"/>
      <c r="S40" s="183"/>
      <c r="T40" s="183"/>
      <c r="U40" s="183"/>
      <c r="V40" s="183"/>
      <c r="W40" s="183"/>
      <c r="X40" s="158"/>
      <c r="Y40" s="158"/>
      <c r="Z40" s="158"/>
      <c r="AA40" s="158"/>
      <c r="AB40" s="158"/>
      <c r="AC40" s="158"/>
      <c r="AD40" s="158"/>
      <c r="AE40" s="158"/>
      <c r="AF40" s="158"/>
      <c r="AG40" s="183"/>
      <c r="AH40" s="183"/>
      <c r="AI40" s="183"/>
      <c r="AJ40" s="183"/>
      <c r="AK40" s="183"/>
      <c r="AL40" s="183"/>
      <c r="AM40" s="158"/>
      <c r="AN40" s="158"/>
      <c r="AO40" s="158"/>
      <c r="AP40" s="158"/>
      <c r="AQ40" s="158"/>
      <c r="AR40" s="158"/>
      <c r="AS40" s="158"/>
      <c r="AT40" s="158"/>
      <c r="AU40" s="183"/>
      <c r="AV40" s="183"/>
      <c r="AW40" s="183"/>
      <c r="AX40" s="158"/>
      <c r="AY40" s="158"/>
      <c r="AZ40" s="158"/>
      <c r="BA40" s="188"/>
      <c r="BC40" s="76"/>
    </row>
    <row r="41" spans="1:55" ht="30" x14ac:dyDescent="0.35">
      <c r="A41" s="190"/>
      <c r="B41" s="191"/>
      <c r="C41" s="191"/>
      <c r="D41" s="41" t="s">
        <v>88</v>
      </c>
      <c r="E41" s="41" t="s">
        <v>37</v>
      </c>
      <c r="F41" s="41">
        <v>2</v>
      </c>
      <c r="G41" s="42" t="s">
        <v>89</v>
      </c>
      <c r="H41" s="32">
        <v>1031</v>
      </c>
      <c r="I41" s="32">
        <f>F41*H41</f>
        <v>2062</v>
      </c>
      <c r="J41" s="32" t="s">
        <v>59</v>
      </c>
      <c r="K41" s="33">
        <v>1.05</v>
      </c>
      <c r="L41" s="32">
        <f>I41*K41</f>
        <v>2165.1</v>
      </c>
      <c r="M41" s="158"/>
      <c r="N41" s="158"/>
      <c r="O41" s="158"/>
      <c r="P41" s="154"/>
      <c r="Q41" s="154"/>
      <c r="R41" s="183"/>
      <c r="S41" s="183"/>
      <c r="T41" s="183"/>
      <c r="U41" s="183"/>
      <c r="V41" s="183"/>
      <c r="W41" s="183"/>
      <c r="X41" s="158"/>
      <c r="Y41" s="158"/>
      <c r="Z41" s="158"/>
      <c r="AA41" s="158"/>
      <c r="AB41" s="158"/>
      <c r="AC41" s="158"/>
      <c r="AD41" s="158"/>
      <c r="AE41" s="154"/>
      <c r="AF41" s="154"/>
      <c r="AG41" s="183"/>
      <c r="AH41" s="183"/>
      <c r="AI41" s="183"/>
      <c r="AJ41" s="183"/>
      <c r="AK41" s="183"/>
      <c r="AL41" s="183"/>
      <c r="AM41" s="158"/>
      <c r="AN41" s="158"/>
      <c r="AO41" s="158"/>
      <c r="AP41" s="158"/>
      <c r="AQ41" s="158"/>
      <c r="AR41" s="158"/>
      <c r="AS41" s="158"/>
      <c r="AT41" s="158"/>
      <c r="AU41" s="183"/>
      <c r="AV41" s="183"/>
      <c r="AW41" s="152"/>
      <c r="AX41" s="158"/>
      <c r="AY41" s="158"/>
      <c r="AZ41" s="158"/>
      <c r="BA41" s="188"/>
      <c r="BC41" s="76"/>
    </row>
    <row r="42" spans="1:55" ht="42.75" customHeight="1" x14ac:dyDescent="0.25">
      <c r="A42" s="168">
        <v>6</v>
      </c>
      <c r="B42" s="207" t="s">
        <v>96</v>
      </c>
      <c r="C42" s="200">
        <v>110</v>
      </c>
      <c r="D42" s="41" t="s">
        <v>52</v>
      </c>
      <c r="E42" s="41" t="s">
        <v>41</v>
      </c>
      <c r="F42" s="41">
        <v>1</v>
      </c>
      <c r="G42" s="31" t="s">
        <v>98</v>
      </c>
      <c r="H42" s="32">
        <v>500</v>
      </c>
      <c r="I42" s="32">
        <f t="shared" ref="I42:I43" si="8">F42*H42</f>
        <v>500</v>
      </c>
      <c r="J42" s="32" t="s">
        <v>36</v>
      </c>
      <c r="K42" s="33" t="s">
        <v>36</v>
      </c>
      <c r="L42" s="32">
        <f>I42</f>
        <v>500</v>
      </c>
      <c r="M42" s="153">
        <f>L42+L43</f>
        <v>7899.6</v>
      </c>
      <c r="N42" s="153">
        <f>M42*0.2</f>
        <v>1579.92</v>
      </c>
      <c r="O42" s="153">
        <f>M42*1.2</f>
        <v>9479.52</v>
      </c>
      <c r="P42" s="153">
        <f>(L43*R42*S42+L42*R42)*1.2</f>
        <v>10655.193692160001</v>
      </c>
      <c r="Q42" s="153">
        <f>SUM(X42:AC43)</f>
        <v>10655.193692159999</v>
      </c>
      <c r="R42" s="151">
        <v>1.0680000000000001</v>
      </c>
      <c r="S42" s="151">
        <v>1.056</v>
      </c>
      <c r="T42" s="151">
        <v>1.054</v>
      </c>
      <c r="U42" s="151">
        <v>1.0509999999999999</v>
      </c>
      <c r="V42" s="160">
        <v>1.0489999999999999</v>
      </c>
      <c r="W42" s="160">
        <v>1.0469999999999999</v>
      </c>
      <c r="X42" s="153">
        <f>L42*R42*1.2</f>
        <v>640.79999999999995</v>
      </c>
      <c r="Y42" s="153">
        <f>L43*R42*S42*1.2</f>
        <v>10014.39369216</v>
      </c>
      <c r="Z42" s="153">
        <v>0</v>
      </c>
      <c r="AA42" s="153">
        <v>0</v>
      </c>
      <c r="AB42" s="153">
        <v>0</v>
      </c>
      <c r="AC42" s="153">
        <v>0</v>
      </c>
      <c r="AD42" s="153">
        <f>(L42+L43)*1.2</f>
        <v>9479.52</v>
      </c>
      <c r="AE42" s="153">
        <f>AM42+AN42</f>
        <v>10655.193692160001</v>
      </c>
      <c r="AF42" s="153">
        <f>AM42+AN42+AO42+AP42+AQ42+AR42</f>
        <v>10655.193692160001</v>
      </c>
      <c r="AG42" s="151">
        <v>1.0680000000000001</v>
      </c>
      <c r="AH42" s="151">
        <v>1.056</v>
      </c>
      <c r="AI42" s="151">
        <v>1.0489999999999999</v>
      </c>
      <c r="AJ42" s="151">
        <v>1.139</v>
      </c>
      <c r="AK42" s="160">
        <v>1.0589999999999999</v>
      </c>
      <c r="AL42" s="160">
        <v>1.0529999999999999</v>
      </c>
      <c r="AM42" s="153">
        <f>L42*1.2*AG42</f>
        <v>640.80000000000007</v>
      </c>
      <c r="AN42" s="153">
        <f>L43*1.2*AG42*AH42</f>
        <v>10014.393692160002</v>
      </c>
      <c r="AO42" s="153">
        <v>0</v>
      </c>
      <c r="AP42" s="153">
        <v>0</v>
      </c>
      <c r="AQ42" s="153">
        <v>0</v>
      </c>
      <c r="AR42" s="153">
        <v>0</v>
      </c>
      <c r="AS42" s="153">
        <v>9479.52</v>
      </c>
      <c r="AT42" s="153">
        <v>10772.273957760002</v>
      </c>
      <c r="AU42" s="151">
        <v>1.0740000000000001</v>
      </c>
      <c r="AV42" s="151">
        <v>1.0369999999999999</v>
      </c>
      <c r="AW42" s="151">
        <v>1.0389999999999999</v>
      </c>
      <c r="AX42" s="153">
        <v>644.40000000000009</v>
      </c>
      <c r="AY42" s="153">
        <v>10127.873957760003</v>
      </c>
      <c r="AZ42" s="153">
        <f>AS42-AD42</f>
        <v>0</v>
      </c>
      <c r="BA42" s="187">
        <f>AS42-O42</f>
        <v>0</v>
      </c>
    </row>
    <row r="43" spans="1:55" ht="45" customHeight="1" x14ac:dyDescent="0.25">
      <c r="A43" s="169"/>
      <c r="B43" s="207"/>
      <c r="C43" s="200"/>
      <c r="D43" s="41" t="s">
        <v>97</v>
      </c>
      <c r="E43" s="41" t="s">
        <v>33</v>
      </c>
      <c r="F43" s="41">
        <v>1</v>
      </c>
      <c r="G43" s="31" t="s">
        <v>99</v>
      </c>
      <c r="H43" s="32">
        <v>7115</v>
      </c>
      <c r="I43" s="32">
        <f t="shared" si="8"/>
        <v>7115</v>
      </c>
      <c r="J43" s="41" t="s">
        <v>100</v>
      </c>
      <c r="K43" s="33">
        <v>1.04</v>
      </c>
      <c r="L43" s="32">
        <f t="shared" ref="L43:L44" si="9">I43*K43</f>
        <v>7399.6</v>
      </c>
      <c r="M43" s="154"/>
      <c r="N43" s="154"/>
      <c r="O43" s="154"/>
      <c r="P43" s="154"/>
      <c r="Q43" s="154"/>
      <c r="R43" s="152"/>
      <c r="S43" s="152"/>
      <c r="T43" s="152"/>
      <c r="U43" s="152"/>
      <c r="V43" s="160"/>
      <c r="W43" s="160"/>
      <c r="X43" s="154"/>
      <c r="Y43" s="154"/>
      <c r="Z43" s="154"/>
      <c r="AA43" s="154"/>
      <c r="AB43" s="154"/>
      <c r="AC43" s="154"/>
      <c r="AD43" s="154"/>
      <c r="AE43" s="154"/>
      <c r="AF43" s="154"/>
      <c r="AG43" s="152"/>
      <c r="AH43" s="152"/>
      <c r="AI43" s="152"/>
      <c r="AJ43" s="152"/>
      <c r="AK43" s="160"/>
      <c r="AL43" s="160"/>
      <c r="AM43" s="154"/>
      <c r="AN43" s="154"/>
      <c r="AO43" s="154"/>
      <c r="AP43" s="154"/>
      <c r="AQ43" s="154"/>
      <c r="AR43" s="154"/>
      <c r="AS43" s="154"/>
      <c r="AT43" s="154"/>
      <c r="AU43" s="152"/>
      <c r="AV43" s="152"/>
      <c r="AW43" s="152"/>
      <c r="AX43" s="154"/>
      <c r="AY43" s="154"/>
      <c r="AZ43" s="154"/>
      <c r="BA43" s="189"/>
    </row>
    <row r="44" spans="1:55" ht="77.25" customHeight="1" x14ac:dyDescent="0.25">
      <c r="A44" s="41">
        <v>7</v>
      </c>
      <c r="B44" s="42" t="s">
        <v>101</v>
      </c>
      <c r="C44" s="43">
        <v>110</v>
      </c>
      <c r="D44" s="41" t="s">
        <v>102</v>
      </c>
      <c r="E44" s="41" t="s">
        <v>33</v>
      </c>
      <c r="F44" s="41">
        <v>3</v>
      </c>
      <c r="G44" s="31" t="s">
        <v>103</v>
      </c>
      <c r="H44" s="32">
        <v>180</v>
      </c>
      <c r="I44" s="32">
        <f>F44*H44</f>
        <v>540</v>
      </c>
      <c r="J44" s="41" t="s">
        <v>100</v>
      </c>
      <c r="K44" s="33">
        <v>1.04</v>
      </c>
      <c r="L44" s="32">
        <f t="shared" si="9"/>
        <v>561.6</v>
      </c>
      <c r="M44" s="47">
        <f>L44</f>
        <v>561.6</v>
      </c>
      <c r="N44" s="47">
        <f>M44*0.2</f>
        <v>112.32000000000001</v>
      </c>
      <c r="O44" s="47">
        <f>M44*1.2</f>
        <v>673.92</v>
      </c>
      <c r="P44" s="47">
        <f>O44*R44*S44</f>
        <v>760.05236736000006</v>
      </c>
      <c r="Q44" s="47">
        <f>P44</f>
        <v>760.05236736000006</v>
      </c>
      <c r="R44" s="77">
        <v>1.0680000000000001</v>
      </c>
      <c r="S44" s="77">
        <v>1.056</v>
      </c>
      <c r="T44" s="77">
        <v>1.054</v>
      </c>
      <c r="U44" s="77">
        <v>1.0509999999999999</v>
      </c>
      <c r="V44" s="77">
        <v>1.0489999999999999</v>
      </c>
      <c r="W44" s="77">
        <v>1.0469999999999999</v>
      </c>
      <c r="X44" s="32">
        <v>0</v>
      </c>
      <c r="Y44" s="32">
        <v>736.62151679999999</v>
      </c>
      <c r="Z44" s="32">
        <v>0</v>
      </c>
      <c r="AA44" s="32">
        <v>0</v>
      </c>
      <c r="AB44" s="32">
        <v>0</v>
      </c>
      <c r="AC44" s="32">
        <v>0</v>
      </c>
      <c r="AD44" s="32">
        <f>L44*1.2</f>
        <v>673.92</v>
      </c>
      <c r="AE44" s="32">
        <f>AD44*AG44*AH44</f>
        <v>760.05236736000006</v>
      </c>
      <c r="AF44" s="32">
        <f>AM44+AN44+AO44+AP44+AQ44+AR44</f>
        <v>760.05236736000006</v>
      </c>
      <c r="AG44" s="77">
        <v>1.0680000000000001</v>
      </c>
      <c r="AH44" s="77">
        <v>1.056</v>
      </c>
      <c r="AI44" s="77">
        <v>1.0489999999999999</v>
      </c>
      <c r="AJ44" s="77">
        <v>1.139</v>
      </c>
      <c r="AK44" s="77">
        <v>1.0589999999999999</v>
      </c>
      <c r="AL44" s="77">
        <v>1.0529999999999999</v>
      </c>
      <c r="AM44" s="32">
        <v>0</v>
      </c>
      <c r="AN44" s="32">
        <f>L44*1.2*AG44*AH44</f>
        <v>760.05236736000006</v>
      </c>
      <c r="AO44" s="32">
        <v>0</v>
      </c>
      <c r="AP44" s="32">
        <v>0</v>
      </c>
      <c r="AQ44" s="32">
        <v>0</v>
      </c>
      <c r="AR44" s="32">
        <v>0</v>
      </c>
      <c r="AS44" s="47">
        <v>673.92</v>
      </c>
      <c r="AT44" s="47">
        <v>768.66506496</v>
      </c>
      <c r="AU44" s="48">
        <v>1.0740000000000001</v>
      </c>
      <c r="AV44" s="48">
        <v>1.0369999999999999</v>
      </c>
      <c r="AW44" s="48">
        <v>1.0389999999999999</v>
      </c>
      <c r="AX44" s="48">
        <v>0</v>
      </c>
      <c r="AY44" s="47">
        <v>768.66506496</v>
      </c>
      <c r="AZ44" s="47">
        <f>AS44-AD44</f>
        <v>0</v>
      </c>
      <c r="BA44" s="78">
        <f>AS44-O44</f>
        <v>0</v>
      </c>
    </row>
    <row r="45" spans="1:55" s="39" customFormat="1" ht="42" customHeight="1" x14ac:dyDescent="0.25">
      <c r="A45" s="180">
        <v>8</v>
      </c>
      <c r="B45" s="172" t="s">
        <v>341</v>
      </c>
      <c r="C45" s="175" t="s">
        <v>104</v>
      </c>
      <c r="D45" s="53" t="s">
        <v>105</v>
      </c>
      <c r="E45" s="53" t="s">
        <v>41</v>
      </c>
      <c r="F45" s="53">
        <v>1</v>
      </c>
      <c r="G45" s="79" t="s">
        <v>98</v>
      </c>
      <c r="H45" s="80">
        <v>3000</v>
      </c>
      <c r="I45" s="80">
        <f t="shared" ref="I45:I47" si="10">F45*H45</f>
        <v>3000</v>
      </c>
      <c r="J45" s="80" t="s">
        <v>36</v>
      </c>
      <c r="K45" s="81" t="s">
        <v>36</v>
      </c>
      <c r="L45" s="80">
        <f>I45</f>
        <v>3000</v>
      </c>
      <c r="M45" s="156">
        <v>43664.000000000007</v>
      </c>
      <c r="N45" s="156">
        <v>8732.8000000000011</v>
      </c>
      <c r="O45" s="156">
        <v>52396.80000000001</v>
      </c>
      <c r="P45" s="153">
        <v>58990.833324748812</v>
      </c>
      <c r="Q45" s="153">
        <v>63759.76229598013</v>
      </c>
      <c r="R45" s="162">
        <v>1.032</v>
      </c>
      <c r="S45" s="162">
        <v>1.038</v>
      </c>
      <c r="T45" s="162">
        <v>1.0509999999999999</v>
      </c>
      <c r="U45" s="162">
        <v>1.0429999999999999</v>
      </c>
      <c r="V45" s="162">
        <v>1.042</v>
      </c>
      <c r="W45" s="162">
        <v>1.0409999999999999</v>
      </c>
      <c r="X45" s="156">
        <v>0</v>
      </c>
      <c r="Y45" s="156">
        <v>0</v>
      </c>
      <c r="Z45" s="156">
        <v>4053.0528576000002</v>
      </c>
      <c r="AA45" s="156">
        <v>0</v>
      </c>
      <c r="AB45" s="156">
        <v>59706.70943838013</v>
      </c>
      <c r="AC45" s="156">
        <v>0</v>
      </c>
      <c r="AD45" s="156">
        <f>SUM(L45:L49)</f>
        <v>12183.199999999999</v>
      </c>
      <c r="AE45" s="153">
        <f>AD45*AG45*AH45*AI45*AJ45</f>
        <v>15682.018375861631</v>
      </c>
      <c r="AF45" s="153">
        <f>SUM(AM45:AR49)</f>
        <v>16644.198375933949</v>
      </c>
      <c r="AG45" s="162">
        <v>1.032</v>
      </c>
      <c r="AH45" s="162">
        <v>1.038</v>
      </c>
      <c r="AI45" s="162">
        <v>1.07</v>
      </c>
      <c r="AJ45" s="162">
        <v>1.123</v>
      </c>
      <c r="AK45" s="162">
        <v>1.0589999999999999</v>
      </c>
      <c r="AL45" s="162">
        <v>1.0509999999999999</v>
      </c>
      <c r="AM45" s="156">
        <v>0</v>
      </c>
      <c r="AN45" s="156">
        <v>0</v>
      </c>
      <c r="AO45" s="156">
        <f>L45*1.2*AG45*AH45*AI45</f>
        <v>4126.3240320000004</v>
      </c>
      <c r="AP45" s="156">
        <v>0</v>
      </c>
      <c r="AQ45" s="156">
        <f>SUM(L46:L49)*AG45*AH45*AI45*AJ45*AK45</f>
        <v>12517.874343933949</v>
      </c>
      <c r="AR45" s="156">
        <v>0</v>
      </c>
      <c r="AS45" s="155">
        <f>O45</f>
        <v>52396.80000000001</v>
      </c>
      <c r="AT45" s="155" t="s">
        <v>175</v>
      </c>
      <c r="AU45" s="161">
        <v>1.0740000000000001</v>
      </c>
      <c r="AV45" s="161">
        <v>1.0369999999999999</v>
      </c>
      <c r="AW45" s="161">
        <v>1.0389999999999999</v>
      </c>
      <c r="AX45" s="155">
        <v>0</v>
      </c>
      <c r="AY45" s="155">
        <v>0</v>
      </c>
      <c r="AZ45" s="155">
        <f>L45*1.2*AU45*AV45*AW45</f>
        <v>4165.8256151999994</v>
      </c>
      <c r="BA45" s="155">
        <f>AS9-O9</f>
        <v>0</v>
      </c>
    </row>
    <row r="46" spans="1:55" s="39" customFormat="1" ht="51" customHeight="1" x14ac:dyDescent="0.25">
      <c r="A46" s="181"/>
      <c r="B46" s="172"/>
      <c r="C46" s="175"/>
      <c r="D46" s="53" t="s">
        <v>109</v>
      </c>
      <c r="E46" s="57" t="s">
        <v>107</v>
      </c>
      <c r="F46" s="53">
        <v>200</v>
      </c>
      <c r="G46" s="79" t="s">
        <v>110</v>
      </c>
      <c r="H46" s="80">
        <v>24</v>
      </c>
      <c r="I46" s="80">
        <f t="shared" si="10"/>
        <v>4800</v>
      </c>
      <c r="J46" s="35" t="s">
        <v>100</v>
      </c>
      <c r="K46" s="81">
        <v>1.04</v>
      </c>
      <c r="L46" s="36">
        <f t="shared" ref="L46:L49" si="11">I46*K46</f>
        <v>4992</v>
      </c>
      <c r="M46" s="156"/>
      <c r="N46" s="156"/>
      <c r="O46" s="156"/>
      <c r="P46" s="158"/>
      <c r="Q46" s="158"/>
      <c r="R46" s="162"/>
      <c r="S46" s="162"/>
      <c r="T46" s="162"/>
      <c r="U46" s="162"/>
      <c r="V46" s="162"/>
      <c r="W46" s="162"/>
      <c r="X46" s="156"/>
      <c r="Y46" s="156"/>
      <c r="Z46" s="156"/>
      <c r="AA46" s="156"/>
      <c r="AB46" s="156"/>
      <c r="AC46" s="156"/>
      <c r="AD46" s="156"/>
      <c r="AE46" s="158"/>
      <c r="AF46" s="158"/>
      <c r="AG46" s="162"/>
      <c r="AH46" s="162"/>
      <c r="AI46" s="162"/>
      <c r="AJ46" s="162"/>
      <c r="AK46" s="162"/>
      <c r="AL46" s="162"/>
      <c r="AM46" s="156"/>
      <c r="AN46" s="156"/>
      <c r="AO46" s="156"/>
      <c r="AP46" s="156"/>
      <c r="AQ46" s="156"/>
      <c r="AR46" s="156"/>
      <c r="AS46" s="156"/>
      <c r="AT46" s="156"/>
      <c r="AU46" s="162"/>
      <c r="AV46" s="162"/>
      <c r="AW46" s="162"/>
      <c r="AX46" s="156"/>
      <c r="AY46" s="156"/>
      <c r="AZ46" s="156"/>
      <c r="BA46" s="156"/>
    </row>
    <row r="47" spans="1:55" s="39" customFormat="1" ht="38.25" customHeight="1" x14ac:dyDescent="0.25">
      <c r="A47" s="181"/>
      <c r="B47" s="172"/>
      <c r="C47" s="175"/>
      <c r="D47" s="53" t="s">
        <v>111</v>
      </c>
      <c r="E47" s="35" t="s">
        <v>33</v>
      </c>
      <c r="F47" s="53">
        <v>3</v>
      </c>
      <c r="G47" s="79" t="s">
        <v>112</v>
      </c>
      <c r="H47" s="80">
        <v>174</v>
      </c>
      <c r="I47" s="80">
        <f t="shared" si="10"/>
        <v>522</v>
      </c>
      <c r="J47" s="35" t="s">
        <v>100</v>
      </c>
      <c r="K47" s="81">
        <v>1.04</v>
      </c>
      <c r="L47" s="36">
        <f t="shared" si="11"/>
        <v>542.88</v>
      </c>
      <c r="M47" s="156"/>
      <c r="N47" s="156"/>
      <c r="O47" s="156"/>
      <c r="P47" s="158"/>
      <c r="Q47" s="158"/>
      <c r="R47" s="162"/>
      <c r="S47" s="162"/>
      <c r="T47" s="162"/>
      <c r="U47" s="162"/>
      <c r="V47" s="162"/>
      <c r="W47" s="162"/>
      <c r="X47" s="156"/>
      <c r="Y47" s="156"/>
      <c r="Z47" s="156"/>
      <c r="AA47" s="156"/>
      <c r="AB47" s="156"/>
      <c r="AC47" s="156"/>
      <c r="AD47" s="156"/>
      <c r="AE47" s="158"/>
      <c r="AF47" s="158"/>
      <c r="AG47" s="162"/>
      <c r="AH47" s="162"/>
      <c r="AI47" s="162"/>
      <c r="AJ47" s="162"/>
      <c r="AK47" s="162"/>
      <c r="AL47" s="162"/>
      <c r="AM47" s="156"/>
      <c r="AN47" s="156"/>
      <c r="AO47" s="156"/>
      <c r="AP47" s="156"/>
      <c r="AQ47" s="156"/>
      <c r="AR47" s="156"/>
      <c r="AS47" s="156"/>
      <c r="AT47" s="156"/>
      <c r="AU47" s="162"/>
      <c r="AV47" s="162"/>
      <c r="AW47" s="162"/>
      <c r="AX47" s="156"/>
      <c r="AY47" s="156"/>
      <c r="AZ47" s="156"/>
      <c r="BA47" s="156"/>
    </row>
    <row r="48" spans="1:55" s="39" customFormat="1" ht="41.25" customHeight="1" x14ac:dyDescent="0.25">
      <c r="A48" s="181"/>
      <c r="B48" s="172"/>
      <c r="C48" s="175"/>
      <c r="D48" s="53" t="s">
        <v>113</v>
      </c>
      <c r="E48" s="35" t="s">
        <v>33</v>
      </c>
      <c r="F48" s="53">
        <v>2</v>
      </c>
      <c r="G48" s="79" t="s">
        <v>114</v>
      </c>
      <c r="H48" s="80">
        <v>1571</v>
      </c>
      <c r="I48" s="80">
        <f t="shared" ref="I48:I49" si="12">F48*H48</f>
        <v>3142</v>
      </c>
      <c r="J48" s="35" t="s">
        <v>100</v>
      </c>
      <c r="K48" s="81">
        <v>1.04</v>
      </c>
      <c r="L48" s="36">
        <f t="shared" si="11"/>
        <v>3267.6800000000003</v>
      </c>
      <c r="M48" s="156"/>
      <c r="N48" s="156"/>
      <c r="O48" s="156"/>
      <c r="P48" s="158"/>
      <c r="Q48" s="158"/>
      <c r="R48" s="162"/>
      <c r="S48" s="162"/>
      <c r="T48" s="162"/>
      <c r="U48" s="162"/>
      <c r="V48" s="162"/>
      <c r="W48" s="162"/>
      <c r="X48" s="156"/>
      <c r="Y48" s="156"/>
      <c r="Z48" s="156"/>
      <c r="AA48" s="156"/>
      <c r="AB48" s="156"/>
      <c r="AC48" s="156"/>
      <c r="AD48" s="156"/>
      <c r="AE48" s="158"/>
      <c r="AF48" s="158"/>
      <c r="AG48" s="162"/>
      <c r="AH48" s="162"/>
      <c r="AI48" s="162"/>
      <c r="AJ48" s="162"/>
      <c r="AK48" s="162"/>
      <c r="AL48" s="162"/>
      <c r="AM48" s="156"/>
      <c r="AN48" s="156"/>
      <c r="AO48" s="156"/>
      <c r="AP48" s="156"/>
      <c r="AQ48" s="156"/>
      <c r="AR48" s="156"/>
      <c r="AS48" s="156"/>
      <c r="AT48" s="156"/>
      <c r="AU48" s="162"/>
      <c r="AV48" s="162"/>
      <c r="AW48" s="162"/>
      <c r="AX48" s="156"/>
      <c r="AY48" s="156"/>
      <c r="AZ48" s="156"/>
      <c r="BA48" s="156"/>
    </row>
    <row r="49" spans="1:55" s="39" customFormat="1" ht="42" customHeight="1" x14ac:dyDescent="0.25">
      <c r="A49" s="182"/>
      <c r="B49" s="173"/>
      <c r="C49" s="176"/>
      <c r="D49" s="53" t="s">
        <v>115</v>
      </c>
      <c r="E49" s="35" t="s">
        <v>33</v>
      </c>
      <c r="F49" s="53">
        <v>1</v>
      </c>
      <c r="G49" s="79" t="s">
        <v>116</v>
      </c>
      <c r="H49" s="80">
        <v>366</v>
      </c>
      <c r="I49" s="80">
        <f t="shared" si="12"/>
        <v>366</v>
      </c>
      <c r="J49" s="35" t="s">
        <v>100</v>
      </c>
      <c r="K49" s="81">
        <v>1.04</v>
      </c>
      <c r="L49" s="36">
        <f t="shared" si="11"/>
        <v>380.64</v>
      </c>
      <c r="M49" s="157"/>
      <c r="N49" s="157"/>
      <c r="O49" s="157"/>
      <c r="P49" s="154"/>
      <c r="Q49" s="154"/>
      <c r="R49" s="163"/>
      <c r="S49" s="163"/>
      <c r="T49" s="163"/>
      <c r="U49" s="163"/>
      <c r="V49" s="163"/>
      <c r="W49" s="163"/>
      <c r="X49" s="157"/>
      <c r="Y49" s="157"/>
      <c r="Z49" s="157"/>
      <c r="AA49" s="157"/>
      <c r="AB49" s="157"/>
      <c r="AC49" s="157"/>
      <c r="AD49" s="157"/>
      <c r="AE49" s="154"/>
      <c r="AF49" s="154"/>
      <c r="AG49" s="163"/>
      <c r="AH49" s="163"/>
      <c r="AI49" s="163"/>
      <c r="AJ49" s="163"/>
      <c r="AK49" s="163"/>
      <c r="AL49" s="163"/>
      <c r="AM49" s="157"/>
      <c r="AN49" s="157"/>
      <c r="AO49" s="157"/>
      <c r="AP49" s="157"/>
      <c r="AQ49" s="157"/>
      <c r="AR49" s="157"/>
      <c r="AS49" s="157"/>
      <c r="AT49" s="157"/>
      <c r="AU49" s="163"/>
      <c r="AV49" s="163"/>
      <c r="AW49" s="163"/>
      <c r="AX49" s="157"/>
      <c r="AY49" s="157"/>
      <c r="AZ49" s="157"/>
      <c r="BA49" s="157"/>
    </row>
    <row r="50" spans="1:55" ht="75" x14ac:dyDescent="0.25">
      <c r="A50" s="168">
        <v>9</v>
      </c>
      <c r="B50" s="166" t="s">
        <v>250</v>
      </c>
      <c r="C50" s="184">
        <v>110</v>
      </c>
      <c r="D50" s="41" t="s">
        <v>117</v>
      </c>
      <c r="E50" s="41" t="s">
        <v>34</v>
      </c>
      <c r="F50" s="41">
        <v>12.57</v>
      </c>
      <c r="G50" s="31" t="s">
        <v>118</v>
      </c>
      <c r="H50" s="32">
        <v>1944</v>
      </c>
      <c r="I50" s="32">
        <v>24436.080000000002</v>
      </c>
      <c r="J50" s="32" t="s">
        <v>55</v>
      </c>
      <c r="K50" s="33">
        <v>1.05</v>
      </c>
      <c r="L50" s="32">
        <v>25657.884000000002</v>
      </c>
      <c r="M50" s="153">
        <f>L50+L51+L52+L53+L54+L55+L57+L56</f>
        <v>153996.57370000001</v>
      </c>
      <c r="N50" s="153">
        <f>M50*0.2</f>
        <v>30799.314740000002</v>
      </c>
      <c r="O50" s="153">
        <f>M50+N50</f>
        <v>184795.88844000001</v>
      </c>
      <c r="P50" s="153">
        <v>202565.08714533719</v>
      </c>
      <c r="Q50" s="153">
        <f>X50+Y50+Z50</f>
        <v>202565.08714533719</v>
      </c>
      <c r="R50" s="151">
        <v>1.032</v>
      </c>
      <c r="S50" s="151">
        <v>1.038</v>
      </c>
      <c r="T50" s="151">
        <v>1.0509999999999999</v>
      </c>
      <c r="U50" s="151">
        <v>1.0429999999999999</v>
      </c>
      <c r="V50" s="151">
        <v>1.042</v>
      </c>
      <c r="W50" s="151">
        <v>1.0409999999999999</v>
      </c>
      <c r="X50" s="153">
        <f>L57*1.2*R50</f>
        <v>6811.2</v>
      </c>
      <c r="Y50" s="153">
        <f>(L50+L51+L52+L53+L54+L55+L56)/2*1.2*R50*S50</f>
        <v>95443.143415571525</v>
      </c>
      <c r="Z50" s="153">
        <f>SUM(L50:L56)/2*1.2*R50*S50*T50</f>
        <v>100310.74372976567</v>
      </c>
      <c r="AA50" s="153">
        <v>0</v>
      </c>
      <c r="AB50" s="153">
        <v>0</v>
      </c>
      <c r="AC50" s="153">
        <v>0</v>
      </c>
      <c r="AD50" s="153">
        <f>O50</f>
        <v>184795.88844000001</v>
      </c>
      <c r="AE50" s="153">
        <f>AM50+AN50+AO50</f>
        <v>204378.50687023305</v>
      </c>
      <c r="AF50" s="153">
        <f>AM50+AN50+AO50+AP50+AQ50+AR50</f>
        <v>204378.50687023305</v>
      </c>
      <c r="AG50" s="151">
        <v>1.032</v>
      </c>
      <c r="AH50" s="151">
        <v>1.038</v>
      </c>
      <c r="AI50" s="151">
        <v>1.07</v>
      </c>
      <c r="AJ50" s="151">
        <v>1.123</v>
      </c>
      <c r="AK50" s="151">
        <v>1.0589999999999999</v>
      </c>
      <c r="AL50" s="151">
        <v>1.0509999999999999</v>
      </c>
      <c r="AM50" s="153">
        <f>L57*1.2*AG50</f>
        <v>6811.2</v>
      </c>
      <c r="AN50" s="153">
        <f>SUM(L50:L56)*1.2*AG50*AH50*0.5</f>
        <v>95443.143415571525</v>
      </c>
      <c r="AO50" s="153">
        <f>SUM(L50:L56)*1.2*AG50*AH50*AI50*0.5</f>
        <v>102124.16345466154</v>
      </c>
      <c r="AP50" s="153">
        <v>0</v>
      </c>
      <c r="AQ50" s="153">
        <v>0</v>
      </c>
      <c r="AR50" s="153">
        <v>0</v>
      </c>
      <c r="AS50" s="153">
        <v>89097.944220000005</v>
      </c>
      <c r="AT50" s="153">
        <v>106320.16619969436</v>
      </c>
      <c r="AU50" s="151">
        <v>1.0740000000000001</v>
      </c>
      <c r="AV50" s="151">
        <v>1.0369999999999999</v>
      </c>
      <c r="AW50" s="151">
        <v>1.0389999999999999</v>
      </c>
      <c r="AX50" s="153">
        <v>7088.4000000000005</v>
      </c>
      <c r="AY50" s="153">
        <v>99231.766199694364</v>
      </c>
      <c r="AZ50" s="153">
        <v>85918.170901235353</v>
      </c>
      <c r="BA50" s="187">
        <f>AS9-O9</f>
        <v>0</v>
      </c>
      <c r="BB50" s="34">
        <f t="shared" ref="BB50:BB77" si="13">Q50/1.2</f>
        <v>168804.23928778101</v>
      </c>
    </row>
    <row r="51" spans="1:55" ht="75" x14ac:dyDescent="0.25">
      <c r="A51" s="190"/>
      <c r="B51" s="191"/>
      <c r="C51" s="185"/>
      <c r="D51" s="41" t="s">
        <v>119</v>
      </c>
      <c r="E51" s="41" t="s">
        <v>45</v>
      </c>
      <c r="F51" s="41">
        <v>263.48</v>
      </c>
      <c r="G51" s="31" t="s">
        <v>118</v>
      </c>
      <c r="H51" s="32">
        <v>101</v>
      </c>
      <c r="I51" s="32">
        <v>26611.480000000003</v>
      </c>
      <c r="J51" s="32" t="s">
        <v>55</v>
      </c>
      <c r="K51" s="33">
        <v>1.05</v>
      </c>
      <c r="L51" s="32">
        <v>27942.054000000004</v>
      </c>
      <c r="M51" s="158"/>
      <c r="N51" s="158"/>
      <c r="O51" s="158"/>
      <c r="P51" s="158"/>
      <c r="Q51" s="158"/>
      <c r="R51" s="183"/>
      <c r="S51" s="183"/>
      <c r="T51" s="183"/>
      <c r="U51" s="183"/>
      <c r="V51" s="183"/>
      <c r="W51" s="183"/>
      <c r="X51" s="158"/>
      <c r="Y51" s="158"/>
      <c r="Z51" s="158"/>
      <c r="AA51" s="158"/>
      <c r="AB51" s="158"/>
      <c r="AC51" s="158"/>
      <c r="AD51" s="158"/>
      <c r="AE51" s="158"/>
      <c r="AF51" s="158"/>
      <c r="AG51" s="183"/>
      <c r="AH51" s="183"/>
      <c r="AI51" s="183"/>
      <c r="AJ51" s="183"/>
      <c r="AK51" s="183"/>
      <c r="AL51" s="183"/>
      <c r="AM51" s="158"/>
      <c r="AN51" s="158"/>
      <c r="AO51" s="158"/>
      <c r="AP51" s="158"/>
      <c r="AQ51" s="158"/>
      <c r="AR51" s="158"/>
      <c r="AS51" s="158"/>
      <c r="AT51" s="158"/>
      <c r="AU51" s="183"/>
      <c r="AV51" s="183"/>
      <c r="AW51" s="183"/>
      <c r="AX51" s="158"/>
      <c r="AY51" s="158"/>
      <c r="AZ51" s="158"/>
      <c r="BA51" s="188"/>
      <c r="BB51" s="34">
        <f t="shared" si="13"/>
        <v>0</v>
      </c>
    </row>
    <row r="52" spans="1:55" ht="30" x14ac:dyDescent="0.25">
      <c r="A52" s="190"/>
      <c r="B52" s="191"/>
      <c r="C52" s="185"/>
      <c r="D52" s="41" t="s">
        <v>120</v>
      </c>
      <c r="E52" s="41" t="s">
        <v>34</v>
      </c>
      <c r="F52" s="41">
        <v>12.57</v>
      </c>
      <c r="G52" s="31" t="s">
        <v>121</v>
      </c>
      <c r="H52" s="32">
        <v>716</v>
      </c>
      <c r="I52" s="32">
        <v>9000.1200000000008</v>
      </c>
      <c r="J52" s="32" t="s">
        <v>55</v>
      </c>
      <c r="K52" s="33">
        <v>1.05</v>
      </c>
      <c r="L52" s="32">
        <v>9450.126000000002</v>
      </c>
      <c r="M52" s="158"/>
      <c r="N52" s="158"/>
      <c r="O52" s="158"/>
      <c r="P52" s="158"/>
      <c r="Q52" s="158"/>
      <c r="R52" s="183"/>
      <c r="S52" s="183"/>
      <c r="T52" s="183"/>
      <c r="U52" s="183"/>
      <c r="V52" s="183"/>
      <c r="W52" s="183"/>
      <c r="X52" s="158"/>
      <c r="Y52" s="158"/>
      <c r="Z52" s="158"/>
      <c r="AA52" s="158"/>
      <c r="AB52" s="158"/>
      <c r="AC52" s="158"/>
      <c r="AD52" s="158"/>
      <c r="AE52" s="158"/>
      <c r="AF52" s="158"/>
      <c r="AG52" s="183"/>
      <c r="AH52" s="183"/>
      <c r="AI52" s="183"/>
      <c r="AJ52" s="183"/>
      <c r="AK52" s="183"/>
      <c r="AL52" s="183"/>
      <c r="AM52" s="158"/>
      <c r="AN52" s="158"/>
      <c r="AO52" s="158"/>
      <c r="AP52" s="158"/>
      <c r="AQ52" s="158"/>
      <c r="AR52" s="158"/>
      <c r="AS52" s="158"/>
      <c r="AT52" s="158"/>
      <c r="AU52" s="183"/>
      <c r="AV52" s="183"/>
      <c r="AW52" s="183"/>
      <c r="AX52" s="158"/>
      <c r="AY52" s="158"/>
      <c r="AZ52" s="158"/>
      <c r="BA52" s="188"/>
      <c r="BB52" s="34">
        <f t="shared" si="13"/>
        <v>0</v>
      </c>
    </row>
    <row r="53" spans="1:55" x14ac:dyDescent="0.25">
      <c r="A53" s="190"/>
      <c r="B53" s="191"/>
      <c r="C53" s="185"/>
      <c r="D53" s="41" t="s">
        <v>122</v>
      </c>
      <c r="E53" s="41" t="s">
        <v>34</v>
      </c>
      <c r="F53" s="41">
        <v>13.44</v>
      </c>
      <c r="G53" s="31" t="s">
        <v>123</v>
      </c>
      <c r="H53" s="32">
        <v>388</v>
      </c>
      <c r="I53" s="32">
        <v>5214.72</v>
      </c>
      <c r="J53" s="32" t="s">
        <v>55</v>
      </c>
      <c r="K53" s="33">
        <v>1.05</v>
      </c>
      <c r="L53" s="32">
        <v>5475.4560000000001</v>
      </c>
      <c r="M53" s="158"/>
      <c r="N53" s="158"/>
      <c r="O53" s="158"/>
      <c r="P53" s="158"/>
      <c r="Q53" s="158"/>
      <c r="R53" s="183"/>
      <c r="S53" s="183"/>
      <c r="T53" s="183"/>
      <c r="U53" s="183"/>
      <c r="V53" s="183"/>
      <c r="W53" s="183"/>
      <c r="X53" s="158"/>
      <c r="Y53" s="158"/>
      <c r="Z53" s="158"/>
      <c r="AA53" s="158"/>
      <c r="AB53" s="158"/>
      <c r="AC53" s="158"/>
      <c r="AD53" s="158"/>
      <c r="AE53" s="158"/>
      <c r="AF53" s="158"/>
      <c r="AG53" s="183"/>
      <c r="AH53" s="183"/>
      <c r="AI53" s="183"/>
      <c r="AJ53" s="183"/>
      <c r="AK53" s="183"/>
      <c r="AL53" s="183"/>
      <c r="AM53" s="158"/>
      <c r="AN53" s="158"/>
      <c r="AO53" s="158"/>
      <c r="AP53" s="158"/>
      <c r="AQ53" s="158"/>
      <c r="AR53" s="158"/>
      <c r="AS53" s="158"/>
      <c r="AT53" s="158"/>
      <c r="AU53" s="183"/>
      <c r="AV53" s="183"/>
      <c r="AW53" s="183"/>
      <c r="AX53" s="158"/>
      <c r="AY53" s="158"/>
      <c r="AZ53" s="158"/>
      <c r="BA53" s="188"/>
      <c r="BB53" s="34">
        <f t="shared" si="13"/>
        <v>0</v>
      </c>
    </row>
    <row r="54" spans="1:55" ht="75" x14ac:dyDescent="0.25">
      <c r="A54" s="190"/>
      <c r="B54" s="191"/>
      <c r="C54" s="185"/>
      <c r="D54" s="41" t="s">
        <v>124</v>
      </c>
      <c r="E54" s="41" t="s">
        <v>49</v>
      </c>
      <c r="F54" s="41">
        <v>62.85</v>
      </c>
      <c r="G54" s="31" t="s">
        <v>51</v>
      </c>
      <c r="H54" s="32">
        <v>261</v>
      </c>
      <c r="I54" s="32">
        <v>16403.850000000002</v>
      </c>
      <c r="J54" s="32" t="s">
        <v>36</v>
      </c>
      <c r="K54" s="33" t="s">
        <v>36</v>
      </c>
      <c r="L54" s="32">
        <v>16403.850000000002</v>
      </c>
      <c r="M54" s="158"/>
      <c r="N54" s="158"/>
      <c r="O54" s="158"/>
      <c r="P54" s="158"/>
      <c r="Q54" s="158"/>
      <c r="R54" s="183"/>
      <c r="S54" s="183"/>
      <c r="T54" s="183"/>
      <c r="U54" s="183"/>
      <c r="V54" s="183"/>
      <c r="W54" s="183"/>
      <c r="X54" s="158"/>
      <c r="Y54" s="158"/>
      <c r="Z54" s="158"/>
      <c r="AA54" s="158"/>
      <c r="AB54" s="158"/>
      <c r="AC54" s="158"/>
      <c r="AD54" s="158"/>
      <c r="AE54" s="158"/>
      <c r="AF54" s="158"/>
      <c r="AG54" s="183"/>
      <c r="AH54" s="183"/>
      <c r="AI54" s="183"/>
      <c r="AJ54" s="183"/>
      <c r="AK54" s="183"/>
      <c r="AL54" s="183"/>
      <c r="AM54" s="158"/>
      <c r="AN54" s="158"/>
      <c r="AO54" s="158"/>
      <c r="AP54" s="158"/>
      <c r="AQ54" s="158"/>
      <c r="AR54" s="158"/>
      <c r="AS54" s="158"/>
      <c r="AT54" s="158"/>
      <c r="AU54" s="183"/>
      <c r="AV54" s="183"/>
      <c r="AW54" s="183"/>
      <c r="AX54" s="158"/>
      <c r="AY54" s="158"/>
      <c r="AZ54" s="158"/>
      <c r="BA54" s="188"/>
      <c r="BB54" s="34">
        <f t="shared" si="13"/>
        <v>0</v>
      </c>
    </row>
    <row r="55" spans="1:55" x14ac:dyDescent="0.25">
      <c r="A55" s="190"/>
      <c r="B55" s="191"/>
      <c r="C55" s="185"/>
      <c r="D55" s="41" t="s">
        <v>126</v>
      </c>
      <c r="E55" s="41">
        <v>100</v>
      </c>
      <c r="F55" s="41">
        <v>3</v>
      </c>
      <c r="G55" s="31"/>
      <c r="H55" s="32">
        <v>6.9</v>
      </c>
      <c r="I55" s="32">
        <v>20.700000000000003</v>
      </c>
      <c r="J55" s="32" t="s">
        <v>36</v>
      </c>
      <c r="K55" s="33" t="s">
        <v>36</v>
      </c>
      <c r="L55" s="32">
        <v>20.700000000000003</v>
      </c>
      <c r="M55" s="158"/>
      <c r="N55" s="158"/>
      <c r="O55" s="158"/>
      <c r="P55" s="158"/>
      <c r="Q55" s="158"/>
      <c r="R55" s="183"/>
      <c r="S55" s="183"/>
      <c r="T55" s="183"/>
      <c r="U55" s="183"/>
      <c r="V55" s="183"/>
      <c r="W55" s="183"/>
      <c r="X55" s="158"/>
      <c r="Y55" s="158"/>
      <c r="Z55" s="158"/>
      <c r="AA55" s="158"/>
      <c r="AB55" s="158"/>
      <c r="AC55" s="158"/>
      <c r="AD55" s="158"/>
      <c r="AE55" s="158"/>
      <c r="AF55" s="158"/>
      <c r="AG55" s="183"/>
      <c r="AH55" s="183"/>
      <c r="AI55" s="183"/>
      <c r="AJ55" s="183"/>
      <c r="AK55" s="183"/>
      <c r="AL55" s="183"/>
      <c r="AM55" s="158"/>
      <c r="AN55" s="158"/>
      <c r="AO55" s="158"/>
      <c r="AP55" s="158"/>
      <c r="AQ55" s="158"/>
      <c r="AR55" s="158"/>
      <c r="AS55" s="158"/>
      <c r="AT55" s="158"/>
      <c r="AU55" s="183"/>
      <c r="AV55" s="183"/>
      <c r="AW55" s="183"/>
      <c r="AX55" s="158"/>
      <c r="AY55" s="158"/>
      <c r="AZ55" s="158"/>
      <c r="BA55" s="188"/>
      <c r="BB55" s="34">
        <f t="shared" si="13"/>
        <v>0</v>
      </c>
    </row>
    <row r="56" spans="1:55" ht="75" x14ac:dyDescent="0.25">
      <c r="A56" s="190"/>
      <c r="B56" s="191"/>
      <c r="C56" s="185"/>
      <c r="D56" s="51" t="s">
        <v>206</v>
      </c>
      <c r="E56" s="41" t="s">
        <v>34</v>
      </c>
      <c r="F56" s="51">
        <v>12.57</v>
      </c>
      <c r="G56" s="31" t="s">
        <v>118</v>
      </c>
      <c r="H56" s="32">
        <v>2267</v>
      </c>
      <c r="I56" s="32">
        <f t="shared" ref="I56" si="14">F56*H56</f>
        <v>28496.190000000002</v>
      </c>
      <c r="J56" s="32" t="s">
        <v>217</v>
      </c>
      <c r="K56" s="33">
        <v>2.23</v>
      </c>
      <c r="L56" s="32">
        <f>I56*K56</f>
        <v>63546.503700000001</v>
      </c>
      <c r="M56" s="158"/>
      <c r="N56" s="158"/>
      <c r="O56" s="158"/>
      <c r="P56" s="158"/>
      <c r="Q56" s="158"/>
      <c r="R56" s="183"/>
      <c r="S56" s="183"/>
      <c r="T56" s="183"/>
      <c r="U56" s="183"/>
      <c r="V56" s="183"/>
      <c r="W56" s="183"/>
      <c r="X56" s="158"/>
      <c r="Y56" s="158"/>
      <c r="Z56" s="158"/>
      <c r="AA56" s="158"/>
      <c r="AB56" s="158"/>
      <c r="AC56" s="158"/>
      <c r="AD56" s="158"/>
      <c r="AE56" s="158"/>
      <c r="AF56" s="158"/>
      <c r="AG56" s="183"/>
      <c r="AH56" s="183"/>
      <c r="AI56" s="183"/>
      <c r="AJ56" s="183"/>
      <c r="AK56" s="183"/>
      <c r="AL56" s="183"/>
      <c r="AM56" s="158"/>
      <c r="AN56" s="158"/>
      <c r="AO56" s="158"/>
      <c r="AP56" s="158"/>
      <c r="AQ56" s="158"/>
      <c r="AR56" s="158"/>
      <c r="AS56" s="158"/>
      <c r="AT56" s="158"/>
      <c r="AU56" s="183"/>
      <c r="AV56" s="183"/>
      <c r="AW56" s="183"/>
      <c r="AX56" s="158"/>
      <c r="AY56" s="158"/>
      <c r="AZ56" s="158"/>
      <c r="BA56" s="188"/>
    </row>
    <row r="57" spans="1:55" ht="30" x14ac:dyDescent="0.25">
      <c r="A57" s="169"/>
      <c r="B57" s="167"/>
      <c r="C57" s="186"/>
      <c r="D57" s="41" t="s">
        <v>166</v>
      </c>
      <c r="E57" s="41" t="s">
        <v>41</v>
      </c>
      <c r="F57" s="41">
        <v>1</v>
      </c>
      <c r="G57" s="31" t="s">
        <v>167</v>
      </c>
      <c r="H57" s="32">
        <v>5500</v>
      </c>
      <c r="I57" s="32">
        <v>5500</v>
      </c>
      <c r="J57" s="32" t="s">
        <v>36</v>
      </c>
      <c r="K57" s="33"/>
      <c r="L57" s="32">
        <v>5500</v>
      </c>
      <c r="M57" s="154"/>
      <c r="N57" s="154"/>
      <c r="O57" s="154"/>
      <c r="P57" s="154"/>
      <c r="Q57" s="154"/>
      <c r="R57" s="152"/>
      <c r="S57" s="152"/>
      <c r="T57" s="152"/>
      <c r="U57" s="152"/>
      <c r="V57" s="152"/>
      <c r="W57" s="152"/>
      <c r="X57" s="154"/>
      <c r="Y57" s="154"/>
      <c r="Z57" s="154"/>
      <c r="AA57" s="154"/>
      <c r="AB57" s="154"/>
      <c r="AC57" s="154"/>
      <c r="AD57" s="154"/>
      <c r="AE57" s="154"/>
      <c r="AF57" s="154"/>
      <c r="AG57" s="152"/>
      <c r="AH57" s="152"/>
      <c r="AI57" s="152"/>
      <c r="AJ57" s="152"/>
      <c r="AK57" s="152"/>
      <c r="AL57" s="152"/>
      <c r="AM57" s="154"/>
      <c r="AN57" s="154"/>
      <c r="AO57" s="154"/>
      <c r="AP57" s="154"/>
      <c r="AQ57" s="154"/>
      <c r="AR57" s="154"/>
      <c r="AS57" s="154"/>
      <c r="AT57" s="154"/>
      <c r="AU57" s="152"/>
      <c r="AV57" s="152"/>
      <c r="AW57" s="152"/>
      <c r="AX57" s="154"/>
      <c r="AY57" s="154"/>
      <c r="AZ57" s="154"/>
      <c r="BA57" s="189"/>
      <c r="BB57" s="34">
        <f t="shared" si="13"/>
        <v>0</v>
      </c>
    </row>
    <row r="58" spans="1:55" ht="41.25" customHeight="1" x14ac:dyDescent="0.25">
      <c r="A58" s="51">
        <v>10</v>
      </c>
      <c r="B58" s="50" t="s">
        <v>247</v>
      </c>
      <c r="C58" s="55">
        <v>10</v>
      </c>
      <c r="D58" s="51" t="s">
        <v>90</v>
      </c>
      <c r="E58" s="51" t="s">
        <v>33</v>
      </c>
      <c r="F58" s="51">
        <v>2</v>
      </c>
      <c r="G58" s="82" t="s">
        <v>91</v>
      </c>
      <c r="H58" s="47">
        <v>7166</v>
      </c>
      <c r="I58" s="47">
        <f t="shared" ref="I58:I59" si="15">F58*H58</f>
        <v>14332</v>
      </c>
      <c r="J58" s="51" t="s">
        <v>92</v>
      </c>
      <c r="K58" s="83">
        <v>1.05</v>
      </c>
      <c r="L58" s="47">
        <f t="shared" ref="L58" si="16">I58*K58</f>
        <v>15048.6</v>
      </c>
      <c r="M58" s="47">
        <f>L58</f>
        <v>15048.6</v>
      </c>
      <c r="N58" s="47">
        <f>M58*0.2</f>
        <v>3009.7200000000003</v>
      </c>
      <c r="O58" s="47">
        <v>18058.32</v>
      </c>
      <c r="P58" s="47">
        <f>O58*R58*S58</f>
        <v>20366.317762560004</v>
      </c>
      <c r="Q58" s="47">
        <f>P58</f>
        <v>20366.317762560004</v>
      </c>
      <c r="R58" s="48">
        <v>1.0680000000000001</v>
      </c>
      <c r="S58" s="48">
        <v>1.056</v>
      </c>
      <c r="T58" s="48">
        <v>1.054</v>
      </c>
      <c r="U58" s="48">
        <v>1.0509999999999999</v>
      </c>
      <c r="V58" s="48">
        <v>1.0489999999999999</v>
      </c>
      <c r="W58" s="48">
        <v>1.0469999999999999</v>
      </c>
      <c r="X58" s="47">
        <v>0</v>
      </c>
      <c r="Y58" s="47">
        <f>Q58</f>
        <v>20366.317762560004</v>
      </c>
      <c r="Z58" s="47">
        <v>0</v>
      </c>
      <c r="AA58" s="47">
        <v>0</v>
      </c>
      <c r="AB58" s="47">
        <v>0</v>
      </c>
      <c r="AC58" s="47">
        <v>0</v>
      </c>
      <c r="AD58" s="47">
        <f>L58*1.2</f>
        <v>18058.32</v>
      </c>
      <c r="AE58" s="47">
        <f>AD58*AG58*AH58</f>
        <v>20366.317762560004</v>
      </c>
      <c r="AF58" s="47">
        <f>AM58+AN58+AO58+AP58+AQ58+AR58</f>
        <v>20366.317762560004</v>
      </c>
      <c r="AG58" s="48">
        <v>1.0680000000000001</v>
      </c>
      <c r="AH58" s="48">
        <v>1.056</v>
      </c>
      <c r="AI58" s="48">
        <v>1.0489999999999999</v>
      </c>
      <c r="AJ58" s="48">
        <v>1.139</v>
      </c>
      <c r="AK58" s="48">
        <v>1.0589999999999999</v>
      </c>
      <c r="AL58" s="48">
        <v>1.0529999999999999</v>
      </c>
      <c r="AM58" s="47">
        <v>0</v>
      </c>
      <c r="AN58" s="47">
        <f>AD58*AG58*AH58</f>
        <v>20366.317762560004</v>
      </c>
      <c r="AO58" s="47">
        <v>0</v>
      </c>
      <c r="AP58" s="47">
        <v>0</v>
      </c>
      <c r="AQ58" s="47">
        <v>0</v>
      </c>
      <c r="AR58" s="47">
        <v>0</v>
      </c>
      <c r="AS58" s="47">
        <v>18058.32</v>
      </c>
      <c r="AT58" s="47">
        <v>20597.10309216</v>
      </c>
      <c r="AU58" s="48">
        <v>1.0740000000000001</v>
      </c>
      <c r="AV58" s="48">
        <v>1.0369999999999999</v>
      </c>
      <c r="AW58" s="48">
        <v>1.0389999999999999</v>
      </c>
      <c r="AX58" s="47">
        <v>0</v>
      </c>
      <c r="AY58" s="47">
        <v>20597.10309216</v>
      </c>
      <c r="AZ58" s="84">
        <v>0</v>
      </c>
      <c r="BA58" s="58">
        <f>AS58-O58</f>
        <v>0</v>
      </c>
      <c r="BB58" s="34">
        <f t="shared" si="13"/>
        <v>16971.931468800005</v>
      </c>
    </row>
    <row r="59" spans="1:55" ht="60" customHeight="1" x14ac:dyDescent="0.25">
      <c r="A59" s="41">
        <v>11</v>
      </c>
      <c r="B59" s="49" t="s">
        <v>248</v>
      </c>
      <c r="C59" s="54">
        <v>110</v>
      </c>
      <c r="D59" s="51" t="s">
        <v>93</v>
      </c>
      <c r="E59" s="41" t="s">
        <v>33</v>
      </c>
      <c r="F59" s="51">
        <v>1</v>
      </c>
      <c r="G59" s="82" t="s">
        <v>94</v>
      </c>
      <c r="H59" s="47">
        <v>58303</v>
      </c>
      <c r="I59" s="47">
        <f t="shared" si="15"/>
        <v>58303</v>
      </c>
      <c r="J59" s="41" t="s">
        <v>92</v>
      </c>
      <c r="K59" s="41">
        <v>1.05</v>
      </c>
      <c r="L59" s="32">
        <f>I59*K59</f>
        <v>61218.15</v>
      </c>
      <c r="M59" s="32">
        <f>L59</f>
        <v>61218.15</v>
      </c>
      <c r="N59" s="47">
        <f>M59*0.2</f>
        <v>12243.630000000001</v>
      </c>
      <c r="O59" s="47">
        <v>73461.78</v>
      </c>
      <c r="P59" s="47">
        <f>O59*R59*S59</f>
        <v>82850.783178240017</v>
      </c>
      <c r="Q59" s="47">
        <f>P59</f>
        <v>82850.783178240017</v>
      </c>
      <c r="R59" s="77">
        <v>1.0680000000000001</v>
      </c>
      <c r="S59" s="77">
        <v>1.056</v>
      </c>
      <c r="T59" s="77">
        <v>1.054</v>
      </c>
      <c r="U59" s="77">
        <v>1.0509999999999999</v>
      </c>
      <c r="V59" s="77">
        <v>1.0489999999999999</v>
      </c>
      <c r="W59" s="77">
        <v>1.0469999999999999</v>
      </c>
      <c r="X59" s="47">
        <v>0</v>
      </c>
      <c r="Y59" s="32">
        <f>Q59</f>
        <v>82850.783178240017</v>
      </c>
      <c r="Z59" s="32">
        <v>0</v>
      </c>
      <c r="AA59" s="32">
        <v>0</v>
      </c>
      <c r="AB59" s="32">
        <v>0</v>
      </c>
      <c r="AC59" s="32">
        <v>0</v>
      </c>
      <c r="AD59" s="32">
        <f>L59*1.2</f>
        <v>73461.78</v>
      </c>
      <c r="AE59" s="32">
        <f>AD59*AG59*AH59</f>
        <v>82850.783178240017</v>
      </c>
      <c r="AF59" s="32">
        <f>AM59+AN59+AO59+AP59+AQ59+AR59</f>
        <v>82850.783178240017</v>
      </c>
      <c r="AG59" s="77">
        <v>1.0680000000000001</v>
      </c>
      <c r="AH59" s="77">
        <v>1.056</v>
      </c>
      <c r="AI59" s="77">
        <v>1.0489999999999999</v>
      </c>
      <c r="AJ59" s="77">
        <v>1.139</v>
      </c>
      <c r="AK59" s="77">
        <v>1.0589999999999999</v>
      </c>
      <c r="AL59" s="77">
        <v>1.0529999999999999</v>
      </c>
      <c r="AM59" s="32">
        <v>0</v>
      </c>
      <c r="AN59" s="32">
        <f>AD59*AG59*AH59</f>
        <v>82850.783178240017</v>
      </c>
      <c r="AO59" s="32">
        <v>0</v>
      </c>
      <c r="AP59" s="32">
        <v>0</v>
      </c>
      <c r="AQ59" s="32">
        <v>0</v>
      </c>
      <c r="AR59" s="32">
        <v>0</v>
      </c>
      <c r="AS59" s="32">
        <v>73461.78</v>
      </c>
      <c r="AT59" s="32">
        <v>83789.624726640002</v>
      </c>
      <c r="AU59" s="48">
        <v>1.0740000000000001</v>
      </c>
      <c r="AV59" s="48">
        <v>1.0369999999999999</v>
      </c>
      <c r="AW59" s="48">
        <v>1.0389999999999999</v>
      </c>
      <c r="AX59" s="47">
        <v>0</v>
      </c>
      <c r="AY59" s="47">
        <v>83789.624726640002</v>
      </c>
      <c r="AZ59" s="84">
        <v>0</v>
      </c>
      <c r="BA59" s="58">
        <f>AS59-O59</f>
        <v>0</v>
      </c>
      <c r="BB59" s="34">
        <f t="shared" si="13"/>
        <v>69042.319315200017</v>
      </c>
    </row>
    <row r="60" spans="1:55" s="39" customFormat="1" ht="81" customHeight="1" x14ac:dyDescent="0.25">
      <c r="A60" s="180">
        <v>12</v>
      </c>
      <c r="B60" s="171" t="s">
        <v>249</v>
      </c>
      <c r="C60" s="174">
        <v>110</v>
      </c>
      <c r="D60" s="35" t="s">
        <v>119</v>
      </c>
      <c r="E60" s="35" t="s">
        <v>45</v>
      </c>
      <c r="F60" s="35">
        <v>179</v>
      </c>
      <c r="G60" s="40" t="s">
        <v>118</v>
      </c>
      <c r="H60" s="36">
        <v>101</v>
      </c>
      <c r="I60" s="36">
        <v>18079</v>
      </c>
      <c r="J60" s="35" t="s">
        <v>55</v>
      </c>
      <c r="K60" s="35">
        <v>1.05</v>
      </c>
      <c r="L60" s="36">
        <v>18983</v>
      </c>
      <c r="M60" s="155">
        <f>SUM(L60:L64)</f>
        <v>48671.833500000001</v>
      </c>
      <c r="N60" s="155">
        <f>M60*0.2</f>
        <v>9734.3667000000005</v>
      </c>
      <c r="O60" s="155">
        <v>58406.200199999999</v>
      </c>
      <c r="P60" s="153">
        <f>O60*R60*S60</f>
        <v>62565.656153443204</v>
      </c>
      <c r="Q60" s="153">
        <f>SUM(X60:AC64)</f>
        <v>62565.656153443204</v>
      </c>
      <c r="R60" s="161">
        <v>1.032</v>
      </c>
      <c r="S60" s="161">
        <v>1.038</v>
      </c>
      <c r="T60" s="161">
        <v>1.0509999999999999</v>
      </c>
      <c r="U60" s="161">
        <v>1.0429999999999999</v>
      </c>
      <c r="V60" s="161">
        <v>1.042</v>
      </c>
      <c r="W60" s="161">
        <v>1.0409999999999999</v>
      </c>
      <c r="X60" s="155">
        <v>0</v>
      </c>
      <c r="Y60" s="155">
        <f>O60*R60*S60</f>
        <v>62565.656153443204</v>
      </c>
      <c r="Z60" s="155">
        <v>0</v>
      </c>
      <c r="AA60" s="155">
        <v>0</v>
      </c>
      <c r="AB60" s="156">
        <v>0</v>
      </c>
      <c r="AC60" s="156">
        <v>0</v>
      </c>
      <c r="AD60" s="155">
        <f>(L60+L61+L62+L63+L64)*1.2</f>
        <v>58406.200199999999</v>
      </c>
      <c r="AE60" s="153">
        <f>AD60*AG60*AH60</f>
        <v>62565.656153443204</v>
      </c>
      <c r="AF60" s="153">
        <f>AM60+AN60+AO60+AP60+AQ60+AR60</f>
        <v>62565.656153443204</v>
      </c>
      <c r="AG60" s="161">
        <v>1.032</v>
      </c>
      <c r="AH60" s="161">
        <v>1.038</v>
      </c>
      <c r="AI60" s="161">
        <v>1.07</v>
      </c>
      <c r="AJ60" s="161">
        <v>1.123</v>
      </c>
      <c r="AK60" s="161">
        <v>1.0589999999999999</v>
      </c>
      <c r="AL60" s="161">
        <v>1.0509999999999999</v>
      </c>
      <c r="AM60" s="155">
        <v>0</v>
      </c>
      <c r="AN60" s="155">
        <f>AD60*AG60*AH60</f>
        <v>62565.656153443204</v>
      </c>
      <c r="AO60" s="155">
        <v>0</v>
      </c>
      <c r="AP60" s="155">
        <v>0</v>
      </c>
      <c r="AQ60" s="155">
        <v>0</v>
      </c>
      <c r="AR60" s="155">
        <v>0</v>
      </c>
      <c r="AS60" s="156">
        <v>58406.200199999999</v>
      </c>
      <c r="AT60" s="156">
        <v>65049.204598347598</v>
      </c>
      <c r="AU60" s="161">
        <v>1.0740000000000001</v>
      </c>
      <c r="AV60" s="161">
        <v>1.0369999999999999</v>
      </c>
      <c r="AW60" s="161">
        <v>1.0389999999999999</v>
      </c>
      <c r="AX60" s="155">
        <v>0</v>
      </c>
      <c r="AY60" s="155">
        <v>65049.204598347598</v>
      </c>
      <c r="AZ60" s="155">
        <v>0</v>
      </c>
      <c r="BA60" s="195">
        <f>AS9-O9</f>
        <v>0</v>
      </c>
      <c r="BB60" s="39">
        <f t="shared" si="13"/>
        <v>52138.046794536007</v>
      </c>
    </row>
    <row r="61" spans="1:55" s="39" customFormat="1" ht="45" customHeight="1" x14ac:dyDescent="0.25">
      <c r="A61" s="181"/>
      <c r="B61" s="172"/>
      <c r="C61" s="175"/>
      <c r="D61" s="35" t="s">
        <v>127</v>
      </c>
      <c r="E61" s="35" t="s">
        <v>34</v>
      </c>
      <c r="F61" s="35">
        <v>3.69</v>
      </c>
      <c r="G61" s="40" t="s">
        <v>128</v>
      </c>
      <c r="H61" s="36">
        <v>583</v>
      </c>
      <c r="I61" s="36">
        <f t="shared" ref="I61" si="17">F61*H61</f>
        <v>2151.27</v>
      </c>
      <c r="J61" s="36" t="s">
        <v>55</v>
      </c>
      <c r="K61" s="37">
        <v>1.05</v>
      </c>
      <c r="L61" s="36">
        <f>I61*K61</f>
        <v>2258.8335000000002</v>
      </c>
      <c r="M61" s="156"/>
      <c r="N61" s="156"/>
      <c r="O61" s="156"/>
      <c r="P61" s="158"/>
      <c r="Q61" s="158"/>
      <c r="R61" s="162"/>
      <c r="S61" s="162"/>
      <c r="T61" s="162"/>
      <c r="U61" s="162"/>
      <c r="V61" s="162"/>
      <c r="W61" s="162"/>
      <c r="X61" s="156"/>
      <c r="Y61" s="156"/>
      <c r="Z61" s="156"/>
      <c r="AA61" s="156"/>
      <c r="AB61" s="156"/>
      <c r="AC61" s="156"/>
      <c r="AD61" s="156"/>
      <c r="AE61" s="158"/>
      <c r="AF61" s="158"/>
      <c r="AG61" s="162"/>
      <c r="AH61" s="162"/>
      <c r="AI61" s="162"/>
      <c r="AJ61" s="162"/>
      <c r="AK61" s="162"/>
      <c r="AL61" s="162"/>
      <c r="AM61" s="156"/>
      <c r="AN61" s="156"/>
      <c r="AO61" s="156"/>
      <c r="AP61" s="156"/>
      <c r="AQ61" s="156"/>
      <c r="AR61" s="156"/>
      <c r="AS61" s="156"/>
      <c r="AT61" s="156"/>
      <c r="AU61" s="162"/>
      <c r="AV61" s="162"/>
      <c r="AW61" s="162"/>
      <c r="AX61" s="156"/>
      <c r="AY61" s="156"/>
      <c r="AZ61" s="156"/>
      <c r="BA61" s="195"/>
      <c r="BB61" s="39">
        <f t="shared" si="13"/>
        <v>0</v>
      </c>
    </row>
    <row r="62" spans="1:55" s="39" customFormat="1" ht="80.25" customHeight="1" x14ac:dyDescent="0.25">
      <c r="A62" s="181"/>
      <c r="B62" s="172"/>
      <c r="C62" s="175"/>
      <c r="D62" s="35" t="s">
        <v>129</v>
      </c>
      <c r="E62" s="35" t="s">
        <v>34</v>
      </c>
      <c r="F62" s="35">
        <v>3.69</v>
      </c>
      <c r="G62" s="40" t="s">
        <v>130</v>
      </c>
      <c r="H62" s="36">
        <v>669</v>
      </c>
      <c r="I62" s="36">
        <v>2469</v>
      </c>
      <c r="J62" s="35" t="s">
        <v>55</v>
      </c>
      <c r="K62" s="35">
        <v>1.05</v>
      </c>
      <c r="L62" s="36">
        <v>2592</v>
      </c>
      <c r="M62" s="156"/>
      <c r="N62" s="156"/>
      <c r="O62" s="156"/>
      <c r="P62" s="158"/>
      <c r="Q62" s="158"/>
      <c r="R62" s="162"/>
      <c r="S62" s="162"/>
      <c r="T62" s="162"/>
      <c r="U62" s="162"/>
      <c r="V62" s="162"/>
      <c r="W62" s="162"/>
      <c r="X62" s="156"/>
      <c r="Y62" s="156"/>
      <c r="Z62" s="156"/>
      <c r="AA62" s="156" t="s">
        <v>175</v>
      </c>
      <c r="AB62" s="156" t="s">
        <v>175</v>
      </c>
      <c r="AC62" s="156" t="s">
        <v>175</v>
      </c>
      <c r="AD62" s="156"/>
      <c r="AE62" s="158"/>
      <c r="AF62" s="158"/>
      <c r="AG62" s="162"/>
      <c r="AH62" s="162"/>
      <c r="AI62" s="162"/>
      <c r="AJ62" s="162"/>
      <c r="AK62" s="162"/>
      <c r="AL62" s="162"/>
      <c r="AM62" s="156"/>
      <c r="AN62" s="156"/>
      <c r="AO62" s="156"/>
      <c r="AP62" s="156"/>
      <c r="AQ62" s="156"/>
      <c r="AR62" s="156"/>
      <c r="AS62" s="156"/>
      <c r="AT62" s="156"/>
      <c r="AU62" s="162"/>
      <c r="AV62" s="162"/>
      <c r="AW62" s="162"/>
      <c r="AX62" s="156"/>
      <c r="AY62" s="156"/>
      <c r="AZ62" s="156"/>
      <c r="BA62" s="195"/>
      <c r="BB62" s="39">
        <f t="shared" si="13"/>
        <v>0</v>
      </c>
    </row>
    <row r="63" spans="1:55" s="39" customFormat="1" ht="78.75" customHeight="1" x14ac:dyDescent="0.25">
      <c r="A63" s="181"/>
      <c r="B63" s="172"/>
      <c r="C63" s="175"/>
      <c r="D63" s="35" t="s">
        <v>131</v>
      </c>
      <c r="E63" s="35" t="s">
        <v>34</v>
      </c>
      <c r="F63" s="35">
        <v>3.69</v>
      </c>
      <c r="G63" s="40" t="s">
        <v>118</v>
      </c>
      <c r="H63" s="36">
        <v>2158</v>
      </c>
      <c r="I63" s="36">
        <v>7963</v>
      </c>
      <c r="J63" s="35" t="s">
        <v>125</v>
      </c>
      <c r="K63" s="35">
        <v>1.59</v>
      </c>
      <c r="L63" s="36">
        <v>12661</v>
      </c>
      <c r="M63" s="156"/>
      <c r="N63" s="156"/>
      <c r="O63" s="156"/>
      <c r="P63" s="158"/>
      <c r="Q63" s="158"/>
      <c r="R63" s="162"/>
      <c r="S63" s="162"/>
      <c r="T63" s="162"/>
      <c r="U63" s="162"/>
      <c r="V63" s="162"/>
      <c r="W63" s="162"/>
      <c r="X63" s="156"/>
      <c r="Y63" s="156"/>
      <c r="Z63" s="156"/>
      <c r="AA63" s="156"/>
      <c r="AB63" s="156"/>
      <c r="AC63" s="156"/>
      <c r="AD63" s="156"/>
      <c r="AE63" s="158"/>
      <c r="AF63" s="158"/>
      <c r="AG63" s="162"/>
      <c r="AH63" s="162"/>
      <c r="AI63" s="162"/>
      <c r="AJ63" s="162"/>
      <c r="AK63" s="162"/>
      <c r="AL63" s="162"/>
      <c r="AM63" s="156"/>
      <c r="AN63" s="156"/>
      <c r="AO63" s="156"/>
      <c r="AP63" s="156"/>
      <c r="AQ63" s="156"/>
      <c r="AR63" s="156"/>
      <c r="AS63" s="156"/>
      <c r="AT63" s="156"/>
      <c r="AU63" s="162"/>
      <c r="AV63" s="162"/>
      <c r="AW63" s="162"/>
      <c r="AX63" s="156"/>
      <c r="AY63" s="156"/>
      <c r="AZ63" s="156"/>
      <c r="BA63" s="195"/>
      <c r="BB63" s="39">
        <f t="shared" si="13"/>
        <v>0</v>
      </c>
      <c r="BC63" s="85"/>
    </row>
    <row r="64" spans="1:55" s="39" customFormat="1" ht="45.75" customHeight="1" x14ac:dyDescent="0.25">
      <c r="A64" s="181"/>
      <c r="B64" s="172"/>
      <c r="C64" s="175"/>
      <c r="D64" s="52" t="s">
        <v>132</v>
      </c>
      <c r="E64" s="52" t="s">
        <v>41</v>
      </c>
      <c r="F64" s="52">
        <v>3.69</v>
      </c>
      <c r="G64" s="86" t="s">
        <v>133</v>
      </c>
      <c r="H64" s="87">
        <v>3300</v>
      </c>
      <c r="I64" s="87">
        <v>12177</v>
      </c>
      <c r="J64" s="52" t="s">
        <v>36</v>
      </c>
      <c r="K64" s="52" t="s">
        <v>36</v>
      </c>
      <c r="L64" s="87">
        <v>12177</v>
      </c>
      <c r="M64" s="156"/>
      <c r="N64" s="156"/>
      <c r="O64" s="156"/>
      <c r="P64" s="154"/>
      <c r="Q64" s="154"/>
      <c r="R64" s="163"/>
      <c r="S64" s="163"/>
      <c r="T64" s="163"/>
      <c r="U64" s="163"/>
      <c r="V64" s="163"/>
      <c r="W64" s="163"/>
      <c r="X64" s="157"/>
      <c r="Y64" s="157"/>
      <c r="Z64" s="157"/>
      <c r="AA64" s="157"/>
      <c r="AB64" s="156"/>
      <c r="AC64" s="156"/>
      <c r="AD64" s="157"/>
      <c r="AE64" s="154"/>
      <c r="AF64" s="154"/>
      <c r="AG64" s="163"/>
      <c r="AH64" s="163"/>
      <c r="AI64" s="163"/>
      <c r="AJ64" s="163"/>
      <c r="AK64" s="163"/>
      <c r="AL64" s="163"/>
      <c r="AM64" s="157"/>
      <c r="AN64" s="157"/>
      <c r="AO64" s="157"/>
      <c r="AP64" s="157"/>
      <c r="AQ64" s="157"/>
      <c r="AR64" s="157"/>
      <c r="AS64" s="156"/>
      <c r="AT64" s="156"/>
      <c r="AU64" s="162"/>
      <c r="AV64" s="162"/>
      <c r="AW64" s="163"/>
      <c r="AX64" s="156"/>
      <c r="AY64" s="156"/>
      <c r="AZ64" s="156"/>
      <c r="BA64" s="195"/>
      <c r="BB64" s="39">
        <f t="shared" si="13"/>
        <v>0</v>
      </c>
      <c r="BC64" s="85"/>
    </row>
    <row r="65" spans="1:55" s="39" customFormat="1" ht="73.5" customHeight="1" x14ac:dyDescent="0.25">
      <c r="A65" s="180">
        <v>13</v>
      </c>
      <c r="B65" s="171" t="s">
        <v>145</v>
      </c>
      <c r="C65" s="174">
        <v>10</v>
      </c>
      <c r="D65" s="35" t="s">
        <v>134</v>
      </c>
      <c r="E65" s="35" t="s">
        <v>138</v>
      </c>
      <c r="F65" s="35">
        <v>0.36</v>
      </c>
      <c r="G65" s="40" t="s">
        <v>140</v>
      </c>
      <c r="H65" s="36">
        <v>2106</v>
      </c>
      <c r="I65" s="36">
        <v>758</v>
      </c>
      <c r="J65" s="35" t="s">
        <v>144</v>
      </c>
      <c r="K65" s="35">
        <v>1.1200000000000001</v>
      </c>
      <c r="L65" s="36">
        <v>849</v>
      </c>
      <c r="M65" s="155">
        <f>SUM(L65:L68)</f>
        <v>2717</v>
      </c>
      <c r="N65" s="155">
        <f>M65*0.2</f>
        <v>543.4</v>
      </c>
      <c r="O65" s="155">
        <f>M65+N65</f>
        <v>3260.4</v>
      </c>
      <c r="P65" s="153">
        <f>O65*R65*S65</f>
        <v>3492.5926464000004</v>
      </c>
      <c r="Q65" s="153">
        <f>SUM(X65:AC68)</f>
        <v>3492.5926464000004</v>
      </c>
      <c r="R65" s="161">
        <v>1.032</v>
      </c>
      <c r="S65" s="161">
        <v>1.038</v>
      </c>
      <c r="T65" s="161">
        <v>1.0509999999999999</v>
      </c>
      <c r="U65" s="161">
        <v>1.0429999999999999</v>
      </c>
      <c r="V65" s="161">
        <v>1.042</v>
      </c>
      <c r="W65" s="161">
        <v>1.0409999999999999</v>
      </c>
      <c r="X65" s="155">
        <v>0</v>
      </c>
      <c r="Y65" s="155">
        <f>O65*R65*S65</f>
        <v>3492.5926464000004</v>
      </c>
      <c r="Z65" s="155">
        <v>0</v>
      </c>
      <c r="AA65" s="155">
        <v>0</v>
      </c>
      <c r="AB65" s="155">
        <v>0</v>
      </c>
      <c r="AC65" s="155">
        <v>0</v>
      </c>
      <c r="AD65" s="155">
        <f>(L65+L66+L67+L68)*1.2</f>
        <v>3260.4</v>
      </c>
      <c r="AE65" s="153">
        <f>AD65*AG65*AH65</f>
        <v>3492.5926464000004</v>
      </c>
      <c r="AF65" s="153">
        <f>AM65+AN65+AO65+AP65+AQ65+AR65</f>
        <v>3492.5926464000004</v>
      </c>
      <c r="AG65" s="161">
        <v>1.032</v>
      </c>
      <c r="AH65" s="161">
        <v>1.038</v>
      </c>
      <c r="AI65" s="161">
        <v>1.07</v>
      </c>
      <c r="AJ65" s="161">
        <v>1.123</v>
      </c>
      <c r="AK65" s="161">
        <v>1.0589999999999999</v>
      </c>
      <c r="AL65" s="161">
        <v>1.0509999999999999</v>
      </c>
      <c r="AM65" s="155">
        <v>0</v>
      </c>
      <c r="AN65" s="155">
        <f>AD65*AG65*AH65</f>
        <v>3492.5926464000004</v>
      </c>
      <c r="AO65" s="155">
        <v>0</v>
      </c>
      <c r="AP65" s="155">
        <v>0</v>
      </c>
      <c r="AQ65" s="155">
        <v>0</v>
      </c>
      <c r="AR65" s="155">
        <v>0</v>
      </c>
      <c r="AS65" s="155">
        <v>400.94567999999998</v>
      </c>
      <c r="AT65" s="155">
        <v>0</v>
      </c>
      <c r="AU65" s="161">
        <v>1.0740000000000001</v>
      </c>
      <c r="AV65" s="161">
        <v>1.0369999999999999</v>
      </c>
      <c r="AW65" s="161">
        <v>1.0389999999999999</v>
      </c>
      <c r="AX65" s="155">
        <v>0</v>
      </c>
      <c r="AY65" s="155">
        <v>400.94567999999998</v>
      </c>
      <c r="AZ65" s="155">
        <v>0</v>
      </c>
      <c r="BA65" s="195">
        <v>0</v>
      </c>
      <c r="BB65" s="39">
        <f t="shared" si="13"/>
        <v>2910.4938720000005</v>
      </c>
      <c r="BC65" s="85"/>
    </row>
    <row r="66" spans="1:55" s="39" customFormat="1" ht="78" customHeight="1" x14ac:dyDescent="0.25">
      <c r="A66" s="181"/>
      <c r="B66" s="172"/>
      <c r="C66" s="175"/>
      <c r="D66" s="35" t="s">
        <v>135</v>
      </c>
      <c r="E66" s="57" t="s">
        <v>139</v>
      </c>
      <c r="F66" s="35">
        <v>0.18</v>
      </c>
      <c r="G66" s="40" t="s">
        <v>141</v>
      </c>
      <c r="H66" s="36">
        <v>1428</v>
      </c>
      <c r="I66" s="36">
        <v>257</v>
      </c>
      <c r="J66" s="35" t="s">
        <v>36</v>
      </c>
      <c r="K66" s="35" t="s">
        <v>36</v>
      </c>
      <c r="L66" s="36">
        <v>257</v>
      </c>
      <c r="M66" s="156"/>
      <c r="N66" s="156"/>
      <c r="O66" s="156"/>
      <c r="P66" s="158"/>
      <c r="Q66" s="158"/>
      <c r="R66" s="162"/>
      <c r="S66" s="162"/>
      <c r="T66" s="162"/>
      <c r="U66" s="162"/>
      <c r="V66" s="162"/>
      <c r="W66" s="162"/>
      <c r="X66" s="156"/>
      <c r="Y66" s="156"/>
      <c r="Z66" s="156"/>
      <c r="AA66" s="156"/>
      <c r="AB66" s="156"/>
      <c r="AC66" s="156"/>
      <c r="AD66" s="156"/>
      <c r="AE66" s="158"/>
      <c r="AF66" s="158"/>
      <c r="AG66" s="162"/>
      <c r="AH66" s="162"/>
      <c r="AI66" s="162"/>
      <c r="AJ66" s="162"/>
      <c r="AK66" s="162"/>
      <c r="AL66" s="162"/>
      <c r="AM66" s="156"/>
      <c r="AN66" s="156"/>
      <c r="AO66" s="156"/>
      <c r="AP66" s="156"/>
      <c r="AQ66" s="156"/>
      <c r="AR66" s="156"/>
      <c r="AS66" s="156"/>
      <c r="AT66" s="156"/>
      <c r="AU66" s="162"/>
      <c r="AV66" s="162"/>
      <c r="AW66" s="162"/>
      <c r="AX66" s="156"/>
      <c r="AY66" s="156"/>
      <c r="AZ66" s="156"/>
      <c r="BA66" s="195"/>
      <c r="BB66" s="39">
        <f t="shared" si="13"/>
        <v>0</v>
      </c>
      <c r="BC66" s="85"/>
    </row>
    <row r="67" spans="1:55" s="39" customFormat="1" ht="45.75" customHeight="1" x14ac:dyDescent="0.25">
      <c r="A67" s="181"/>
      <c r="B67" s="172"/>
      <c r="C67" s="175"/>
      <c r="D67" s="35" t="s">
        <v>136</v>
      </c>
      <c r="E67" s="57" t="s">
        <v>139</v>
      </c>
      <c r="F67" s="35">
        <v>10</v>
      </c>
      <c r="G67" s="40" t="s">
        <v>142</v>
      </c>
      <c r="H67" s="36">
        <v>134</v>
      </c>
      <c r="I67" s="36">
        <v>1340</v>
      </c>
      <c r="J67" s="35" t="s">
        <v>144</v>
      </c>
      <c r="K67" s="35">
        <v>1.1200000000000001</v>
      </c>
      <c r="L67" s="36">
        <v>1501</v>
      </c>
      <c r="M67" s="156"/>
      <c r="N67" s="156"/>
      <c r="O67" s="156"/>
      <c r="P67" s="158"/>
      <c r="Q67" s="158"/>
      <c r="R67" s="162"/>
      <c r="S67" s="162"/>
      <c r="T67" s="162"/>
      <c r="U67" s="162"/>
      <c r="V67" s="162"/>
      <c r="W67" s="162"/>
      <c r="X67" s="156"/>
      <c r="Y67" s="156"/>
      <c r="Z67" s="156"/>
      <c r="AA67" s="156"/>
      <c r="AB67" s="156"/>
      <c r="AC67" s="156"/>
      <c r="AD67" s="156"/>
      <c r="AE67" s="158"/>
      <c r="AF67" s="158"/>
      <c r="AG67" s="162"/>
      <c r="AH67" s="162"/>
      <c r="AI67" s="162"/>
      <c r="AJ67" s="162"/>
      <c r="AK67" s="162"/>
      <c r="AL67" s="162"/>
      <c r="AM67" s="156"/>
      <c r="AN67" s="156"/>
      <c r="AO67" s="156"/>
      <c r="AP67" s="156"/>
      <c r="AQ67" s="156"/>
      <c r="AR67" s="156"/>
      <c r="AS67" s="156"/>
      <c r="AT67" s="156"/>
      <c r="AU67" s="162"/>
      <c r="AV67" s="162"/>
      <c r="AW67" s="162"/>
      <c r="AX67" s="156"/>
      <c r="AY67" s="156"/>
      <c r="AZ67" s="156"/>
      <c r="BA67" s="195"/>
      <c r="BB67" s="39">
        <f t="shared" si="13"/>
        <v>0</v>
      </c>
      <c r="BC67" s="85"/>
    </row>
    <row r="68" spans="1:55" s="39" customFormat="1" ht="45.75" customHeight="1" x14ac:dyDescent="0.25">
      <c r="A68" s="182"/>
      <c r="B68" s="173"/>
      <c r="C68" s="176"/>
      <c r="D68" s="35" t="s">
        <v>137</v>
      </c>
      <c r="E68" s="57" t="s">
        <v>139</v>
      </c>
      <c r="F68" s="35">
        <v>0.18</v>
      </c>
      <c r="G68" s="40" t="s">
        <v>143</v>
      </c>
      <c r="H68" s="36">
        <v>611</v>
      </c>
      <c r="I68" s="36">
        <v>110</v>
      </c>
      <c r="J68" s="35" t="s">
        <v>36</v>
      </c>
      <c r="K68" s="35" t="s">
        <v>36</v>
      </c>
      <c r="L68" s="36">
        <v>110</v>
      </c>
      <c r="M68" s="157"/>
      <c r="N68" s="157"/>
      <c r="O68" s="157"/>
      <c r="P68" s="154"/>
      <c r="Q68" s="154"/>
      <c r="R68" s="163"/>
      <c r="S68" s="163"/>
      <c r="T68" s="163"/>
      <c r="U68" s="163"/>
      <c r="V68" s="163"/>
      <c r="W68" s="163"/>
      <c r="X68" s="157"/>
      <c r="Y68" s="157"/>
      <c r="Z68" s="157"/>
      <c r="AA68" s="157"/>
      <c r="AB68" s="157"/>
      <c r="AC68" s="157"/>
      <c r="AD68" s="157"/>
      <c r="AE68" s="154"/>
      <c r="AF68" s="154"/>
      <c r="AG68" s="163"/>
      <c r="AH68" s="163"/>
      <c r="AI68" s="163"/>
      <c r="AJ68" s="163"/>
      <c r="AK68" s="163"/>
      <c r="AL68" s="163"/>
      <c r="AM68" s="157"/>
      <c r="AN68" s="157"/>
      <c r="AO68" s="157"/>
      <c r="AP68" s="157"/>
      <c r="AQ68" s="157"/>
      <c r="AR68" s="157"/>
      <c r="AS68" s="157"/>
      <c r="AT68" s="157"/>
      <c r="AU68" s="163"/>
      <c r="AV68" s="163"/>
      <c r="AW68" s="163"/>
      <c r="AX68" s="157"/>
      <c r="AY68" s="157"/>
      <c r="AZ68" s="157"/>
      <c r="BA68" s="195"/>
      <c r="BB68" s="39">
        <f t="shared" si="13"/>
        <v>0</v>
      </c>
      <c r="BC68" s="85"/>
    </row>
    <row r="69" spans="1:55" ht="67.5" customHeight="1" x14ac:dyDescent="0.25">
      <c r="A69" s="168">
        <v>14</v>
      </c>
      <c r="B69" s="166" t="s">
        <v>176</v>
      </c>
      <c r="C69" s="184" t="s">
        <v>149</v>
      </c>
      <c r="D69" s="41" t="s">
        <v>150</v>
      </c>
      <c r="E69" s="41" t="s">
        <v>37</v>
      </c>
      <c r="F69" s="41">
        <v>8</v>
      </c>
      <c r="G69" s="42" t="s">
        <v>151</v>
      </c>
      <c r="H69" s="32">
        <v>5533</v>
      </c>
      <c r="I69" s="46">
        <f t="shared" ref="I69:I70" si="18">F69*H69</f>
        <v>44264</v>
      </c>
      <c r="J69" s="41" t="s">
        <v>55</v>
      </c>
      <c r="K69" s="41">
        <v>1.03</v>
      </c>
      <c r="L69" s="46">
        <f t="shared" ref="L69" si="19">I69*K69</f>
        <v>45591.92</v>
      </c>
      <c r="M69" s="153">
        <f>SUM(L69:L77)</f>
        <v>163045.3842</v>
      </c>
      <c r="N69" s="153">
        <f>M69*0.2</f>
        <v>32609.076840000002</v>
      </c>
      <c r="O69" s="153">
        <f>M69+N69</f>
        <v>195654.46103999999</v>
      </c>
      <c r="P69" s="153">
        <f>(L70*R69*S69*1.2) +((L69+L71+L72+L73+L74+L75+L76+L77)*1.2*R69*S69*T69)</f>
        <v>219785.4986394333</v>
      </c>
      <c r="Q69" s="153">
        <f>SUM(X69:AC77)</f>
        <v>219785.4986394333</v>
      </c>
      <c r="R69" s="151">
        <v>1.032</v>
      </c>
      <c r="S69" s="151">
        <v>1.038</v>
      </c>
      <c r="T69" s="151">
        <v>1.0509999999999999</v>
      </c>
      <c r="U69" s="151">
        <v>1.0429999999999999</v>
      </c>
      <c r="V69" s="151">
        <v>1.042</v>
      </c>
      <c r="W69" s="151">
        <v>1.0409999999999999</v>
      </c>
      <c r="X69" s="153">
        <v>0</v>
      </c>
      <c r="Y69" s="153">
        <f>L70*R69*S69*1.2</f>
        <v>9640.9439999999995</v>
      </c>
      <c r="Z69" s="153">
        <f>(L69+L71+L72+L73+L74+L75+L76+L77)*1.2*R69*S69*T69</f>
        <v>210144.55463943331</v>
      </c>
      <c r="AA69" s="153">
        <v>0</v>
      </c>
      <c r="AB69" s="153">
        <v>0</v>
      </c>
      <c r="AC69" s="153">
        <v>0</v>
      </c>
      <c r="AD69" s="153">
        <f>(L69+L70+L71+L72+L73+L74+L75+L76+L77)*1.2</f>
        <v>195654.46103999999</v>
      </c>
      <c r="AE69" s="153">
        <f>AF69</f>
        <v>223584.49629704439</v>
      </c>
      <c r="AF69" s="153">
        <f>AM69+AN69+AO69+AP69+AQ69+AR69</f>
        <v>223584.49629704439</v>
      </c>
      <c r="AG69" s="151">
        <v>1.032</v>
      </c>
      <c r="AH69" s="151">
        <v>1.038</v>
      </c>
      <c r="AI69" s="151">
        <v>1.07</v>
      </c>
      <c r="AJ69" s="151">
        <v>1.123</v>
      </c>
      <c r="AK69" s="151">
        <v>1.0589999999999999</v>
      </c>
      <c r="AL69" s="151">
        <v>1.0509999999999999</v>
      </c>
      <c r="AM69" s="153">
        <v>0</v>
      </c>
      <c r="AN69" s="153">
        <f>L70*1.2*AG69*AH69</f>
        <v>9640.9439999999995</v>
      </c>
      <c r="AO69" s="153">
        <f>(L69+L71+L72+L73+L74+L75+L76+L77)*1.2*AG69*AH69*AI69</f>
        <v>213943.5522970444</v>
      </c>
      <c r="AP69" s="153">
        <v>0</v>
      </c>
      <c r="AQ69" s="153">
        <v>0</v>
      </c>
      <c r="AR69" s="153">
        <v>0</v>
      </c>
      <c r="AS69" s="153">
        <v>195654.46103999999</v>
      </c>
      <c r="AT69" s="159">
        <f>AS69*1.2</f>
        <v>234785.353248</v>
      </c>
      <c r="AU69" s="151">
        <v>1.0740000000000001</v>
      </c>
      <c r="AV69" s="151">
        <v>1.0369999999999999</v>
      </c>
      <c r="AW69" s="151">
        <v>1.0389999999999999</v>
      </c>
      <c r="AX69" s="159">
        <v>0</v>
      </c>
      <c r="AY69" s="159">
        <v>10023.642</v>
      </c>
      <c r="AZ69" s="159">
        <v>215991.64860882843</v>
      </c>
      <c r="BA69" s="196">
        <f>AS9-O9</f>
        <v>0</v>
      </c>
      <c r="BB69" s="34">
        <f t="shared" si="13"/>
        <v>183154.58219952777</v>
      </c>
    </row>
    <row r="70" spans="1:55" ht="30" x14ac:dyDescent="0.25">
      <c r="A70" s="190"/>
      <c r="B70" s="191"/>
      <c r="C70" s="185"/>
      <c r="D70" s="41" t="s">
        <v>152</v>
      </c>
      <c r="E70" s="41" t="s">
        <v>41</v>
      </c>
      <c r="F70" s="41">
        <v>1</v>
      </c>
      <c r="G70" s="31" t="s">
        <v>98</v>
      </c>
      <c r="H70" s="41">
        <v>7500</v>
      </c>
      <c r="I70" s="46">
        <f t="shared" si="18"/>
        <v>7500</v>
      </c>
      <c r="J70" s="41" t="s">
        <v>36</v>
      </c>
      <c r="K70" s="41" t="s">
        <v>36</v>
      </c>
      <c r="L70" s="46">
        <f>I70</f>
        <v>7500</v>
      </c>
      <c r="M70" s="158"/>
      <c r="N70" s="158"/>
      <c r="O70" s="158"/>
      <c r="P70" s="158"/>
      <c r="Q70" s="158"/>
      <c r="R70" s="183"/>
      <c r="S70" s="183"/>
      <c r="T70" s="183"/>
      <c r="U70" s="183"/>
      <c r="V70" s="183"/>
      <c r="W70" s="183"/>
      <c r="X70" s="158"/>
      <c r="Y70" s="158"/>
      <c r="Z70" s="158"/>
      <c r="AA70" s="158"/>
      <c r="AB70" s="158"/>
      <c r="AC70" s="158"/>
      <c r="AD70" s="158"/>
      <c r="AE70" s="158"/>
      <c r="AF70" s="158"/>
      <c r="AG70" s="183"/>
      <c r="AH70" s="183"/>
      <c r="AI70" s="183"/>
      <c r="AJ70" s="183"/>
      <c r="AK70" s="183"/>
      <c r="AL70" s="183"/>
      <c r="AM70" s="158"/>
      <c r="AN70" s="158"/>
      <c r="AO70" s="158"/>
      <c r="AP70" s="158"/>
      <c r="AQ70" s="158"/>
      <c r="AR70" s="158"/>
      <c r="AS70" s="158"/>
      <c r="AT70" s="159"/>
      <c r="AU70" s="183"/>
      <c r="AV70" s="183"/>
      <c r="AW70" s="183"/>
      <c r="AX70" s="159"/>
      <c r="AY70" s="159"/>
      <c r="AZ70" s="159"/>
      <c r="BA70" s="196"/>
      <c r="BB70" s="34">
        <f t="shared" si="13"/>
        <v>0</v>
      </c>
    </row>
    <row r="71" spans="1:55" ht="18.75" customHeight="1" x14ac:dyDescent="0.25">
      <c r="A71" s="190"/>
      <c r="B71" s="191"/>
      <c r="C71" s="185"/>
      <c r="D71" s="41" t="s">
        <v>153</v>
      </c>
      <c r="E71" s="41" t="s">
        <v>37</v>
      </c>
      <c r="F71" s="41">
        <v>2</v>
      </c>
      <c r="G71" s="42" t="s">
        <v>154</v>
      </c>
      <c r="H71" s="41">
        <v>13695</v>
      </c>
      <c r="I71" s="46">
        <f>H71*F71</f>
        <v>27390</v>
      </c>
      <c r="J71" s="41" t="s">
        <v>92</v>
      </c>
      <c r="K71" s="41">
        <v>1.05</v>
      </c>
      <c r="L71" s="46">
        <f>I71*K71</f>
        <v>28759.5</v>
      </c>
      <c r="M71" s="158"/>
      <c r="N71" s="158"/>
      <c r="O71" s="158"/>
      <c r="P71" s="158"/>
      <c r="Q71" s="158"/>
      <c r="R71" s="183"/>
      <c r="S71" s="183"/>
      <c r="T71" s="183"/>
      <c r="U71" s="183"/>
      <c r="V71" s="183"/>
      <c r="W71" s="183"/>
      <c r="X71" s="158"/>
      <c r="Y71" s="158"/>
      <c r="Z71" s="158"/>
      <c r="AA71" s="158"/>
      <c r="AB71" s="158"/>
      <c r="AC71" s="158"/>
      <c r="AD71" s="158"/>
      <c r="AE71" s="158"/>
      <c r="AF71" s="158"/>
      <c r="AG71" s="183"/>
      <c r="AH71" s="183"/>
      <c r="AI71" s="183"/>
      <c r="AJ71" s="183"/>
      <c r="AK71" s="183"/>
      <c r="AL71" s="183"/>
      <c r="AM71" s="158"/>
      <c r="AN71" s="158"/>
      <c r="AO71" s="158"/>
      <c r="AP71" s="158"/>
      <c r="AQ71" s="158"/>
      <c r="AR71" s="158"/>
      <c r="AS71" s="158"/>
      <c r="AT71" s="159"/>
      <c r="AU71" s="183"/>
      <c r="AV71" s="183"/>
      <c r="AW71" s="183"/>
      <c r="AX71" s="159"/>
      <c r="AY71" s="159"/>
      <c r="AZ71" s="159"/>
      <c r="BA71" s="196"/>
      <c r="BB71" s="34">
        <f t="shared" si="13"/>
        <v>0</v>
      </c>
    </row>
    <row r="72" spans="1:55" ht="63" customHeight="1" x14ac:dyDescent="0.25">
      <c r="A72" s="190"/>
      <c r="B72" s="191"/>
      <c r="C72" s="185"/>
      <c r="D72" s="41" t="s">
        <v>155</v>
      </c>
      <c r="E72" s="41" t="s">
        <v>37</v>
      </c>
      <c r="F72" s="41">
        <v>11</v>
      </c>
      <c r="G72" s="42" t="s">
        <v>156</v>
      </c>
      <c r="H72" s="41">
        <v>1188</v>
      </c>
      <c r="I72" s="46">
        <f t="shared" ref="I72:I76" si="20">F72*H72</f>
        <v>13068</v>
      </c>
      <c r="J72" s="41" t="s">
        <v>59</v>
      </c>
      <c r="K72" s="41">
        <v>1.03</v>
      </c>
      <c r="L72" s="46">
        <f>I72*K72</f>
        <v>13460.04</v>
      </c>
      <c r="M72" s="158"/>
      <c r="N72" s="158"/>
      <c r="O72" s="158"/>
      <c r="P72" s="158"/>
      <c r="Q72" s="158"/>
      <c r="R72" s="183"/>
      <c r="S72" s="183"/>
      <c r="T72" s="183"/>
      <c r="U72" s="183"/>
      <c r="V72" s="183"/>
      <c r="W72" s="183"/>
      <c r="X72" s="158"/>
      <c r="Y72" s="158"/>
      <c r="Z72" s="158"/>
      <c r="AA72" s="158"/>
      <c r="AB72" s="158"/>
      <c r="AC72" s="158"/>
      <c r="AD72" s="158"/>
      <c r="AE72" s="158"/>
      <c r="AF72" s="158"/>
      <c r="AG72" s="183"/>
      <c r="AH72" s="183"/>
      <c r="AI72" s="183"/>
      <c r="AJ72" s="183"/>
      <c r="AK72" s="183"/>
      <c r="AL72" s="183"/>
      <c r="AM72" s="158"/>
      <c r="AN72" s="158"/>
      <c r="AO72" s="158"/>
      <c r="AP72" s="158"/>
      <c r="AQ72" s="158"/>
      <c r="AR72" s="158"/>
      <c r="AS72" s="158"/>
      <c r="AT72" s="159"/>
      <c r="AU72" s="183"/>
      <c r="AV72" s="183"/>
      <c r="AW72" s="183"/>
      <c r="AX72" s="159"/>
      <c r="AY72" s="159"/>
      <c r="AZ72" s="159"/>
      <c r="BA72" s="196"/>
      <c r="BB72" s="34">
        <f t="shared" si="13"/>
        <v>0</v>
      </c>
    </row>
    <row r="73" spans="1:55" ht="65.25" customHeight="1" x14ac:dyDescent="0.25">
      <c r="A73" s="190"/>
      <c r="B73" s="191"/>
      <c r="C73" s="185"/>
      <c r="D73" s="41" t="s">
        <v>157</v>
      </c>
      <c r="E73" s="41" t="s">
        <v>37</v>
      </c>
      <c r="F73" s="41">
        <v>3</v>
      </c>
      <c r="G73" s="42" t="s">
        <v>158</v>
      </c>
      <c r="H73" s="41">
        <v>1301</v>
      </c>
      <c r="I73" s="46">
        <f t="shared" si="20"/>
        <v>3903</v>
      </c>
      <c r="J73" s="41" t="s">
        <v>59</v>
      </c>
      <c r="K73" s="41">
        <v>1.03</v>
      </c>
      <c r="L73" s="46">
        <f>I73*K73</f>
        <v>4020.09</v>
      </c>
      <c r="M73" s="158"/>
      <c r="N73" s="158"/>
      <c r="O73" s="158"/>
      <c r="P73" s="158"/>
      <c r="Q73" s="158"/>
      <c r="R73" s="183"/>
      <c r="S73" s="183"/>
      <c r="T73" s="183"/>
      <c r="U73" s="183"/>
      <c r="V73" s="183"/>
      <c r="W73" s="183"/>
      <c r="X73" s="158"/>
      <c r="Y73" s="158"/>
      <c r="Z73" s="158"/>
      <c r="AA73" s="158"/>
      <c r="AB73" s="158"/>
      <c r="AC73" s="158"/>
      <c r="AD73" s="158"/>
      <c r="AE73" s="158"/>
      <c r="AF73" s="158"/>
      <c r="AG73" s="183"/>
      <c r="AH73" s="183"/>
      <c r="AI73" s="183"/>
      <c r="AJ73" s="183"/>
      <c r="AK73" s="183"/>
      <c r="AL73" s="183"/>
      <c r="AM73" s="158"/>
      <c r="AN73" s="158"/>
      <c r="AO73" s="158"/>
      <c r="AP73" s="158"/>
      <c r="AQ73" s="158"/>
      <c r="AR73" s="158"/>
      <c r="AS73" s="158"/>
      <c r="AT73" s="159"/>
      <c r="AU73" s="183"/>
      <c r="AV73" s="183"/>
      <c r="AW73" s="183"/>
      <c r="AX73" s="159"/>
      <c r="AY73" s="159"/>
      <c r="AZ73" s="159"/>
      <c r="BA73" s="196"/>
      <c r="BB73" s="34">
        <f t="shared" si="13"/>
        <v>0</v>
      </c>
    </row>
    <row r="74" spans="1:55" ht="73.5" customHeight="1" x14ac:dyDescent="0.25">
      <c r="A74" s="190"/>
      <c r="B74" s="191"/>
      <c r="C74" s="185"/>
      <c r="D74" s="41" t="s">
        <v>159</v>
      </c>
      <c r="E74" s="41" t="s">
        <v>34</v>
      </c>
      <c r="F74" s="41">
        <v>5.1959999999999997</v>
      </c>
      <c r="G74" s="42" t="s">
        <v>160</v>
      </c>
      <c r="H74" s="32">
        <v>2270</v>
      </c>
      <c r="I74" s="32">
        <f t="shared" si="20"/>
        <v>11794.92</v>
      </c>
      <c r="J74" s="41" t="s">
        <v>161</v>
      </c>
      <c r="K74" s="41">
        <v>1.05</v>
      </c>
      <c r="L74" s="32">
        <f t="shared" ref="L74:L78" si="21">I74*K74</f>
        <v>12384.666000000001</v>
      </c>
      <c r="M74" s="158"/>
      <c r="N74" s="158"/>
      <c r="O74" s="158"/>
      <c r="P74" s="158"/>
      <c r="Q74" s="158"/>
      <c r="R74" s="183"/>
      <c r="S74" s="183"/>
      <c r="T74" s="183"/>
      <c r="U74" s="183"/>
      <c r="V74" s="183"/>
      <c r="W74" s="183"/>
      <c r="X74" s="158"/>
      <c r="Y74" s="158"/>
      <c r="Z74" s="158"/>
      <c r="AA74" s="158"/>
      <c r="AB74" s="158" t="s">
        <v>175</v>
      </c>
      <c r="AC74" s="158" t="s">
        <v>175</v>
      </c>
      <c r="AD74" s="158"/>
      <c r="AE74" s="158"/>
      <c r="AF74" s="158"/>
      <c r="AG74" s="183"/>
      <c r="AH74" s="183"/>
      <c r="AI74" s="183"/>
      <c r="AJ74" s="183"/>
      <c r="AK74" s="183"/>
      <c r="AL74" s="183"/>
      <c r="AM74" s="158"/>
      <c r="AN74" s="158"/>
      <c r="AO74" s="158"/>
      <c r="AP74" s="158"/>
      <c r="AQ74" s="158"/>
      <c r="AR74" s="158"/>
      <c r="AS74" s="158"/>
      <c r="AT74" s="159"/>
      <c r="AU74" s="183"/>
      <c r="AV74" s="183"/>
      <c r="AW74" s="183"/>
      <c r="AX74" s="159"/>
      <c r="AY74" s="159"/>
      <c r="AZ74" s="159"/>
      <c r="BA74" s="196"/>
      <c r="BB74" s="34">
        <f t="shared" si="13"/>
        <v>0</v>
      </c>
    </row>
    <row r="75" spans="1:55" ht="21.75" customHeight="1" x14ac:dyDescent="0.25">
      <c r="A75" s="190"/>
      <c r="B75" s="191"/>
      <c r="C75" s="185"/>
      <c r="D75" s="41" t="s">
        <v>73</v>
      </c>
      <c r="E75" s="41" t="s">
        <v>33</v>
      </c>
      <c r="F75" s="41">
        <v>2</v>
      </c>
      <c r="G75" s="42" t="s">
        <v>74</v>
      </c>
      <c r="H75" s="32">
        <v>1273</v>
      </c>
      <c r="I75" s="32">
        <f t="shared" si="20"/>
        <v>2546</v>
      </c>
      <c r="J75" s="32" t="s">
        <v>54</v>
      </c>
      <c r="K75" s="33">
        <v>1.1000000000000001</v>
      </c>
      <c r="L75" s="32">
        <f>I75*K75</f>
        <v>2800.6000000000004</v>
      </c>
      <c r="M75" s="158"/>
      <c r="N75" s="158"/>
      <c r="O75" s="158"/>
      <c r="P75" s="158"/>
      <c r="Q75" s="158"/>
      <c r="R75" s="183"/>
      <c r="S75" s="183"/>
      <c r="T75" s="183"/>
      <c r="U75" s="183"/>
      <c r="V75" s="183"/>
      <c r="W75" s="183"/>
      <c r="X75" s="158"/>
      <c r="Y75" s="158"/>
      <c r="Z75" s="158"/>
      <c r="AA75" s="158"/>
      <c r="AB75" s="158"/>
      <c r="AC75" s="158"/>
      <c r="AD75" s="158"/>
      <c r="AE75" s="158"/>
      <c r="AF75" s="158"/>
      <c r="AG75" s="183"/>
      <c r="AH75" s="183"/>
      <c r="AI75" s="183"/>
      <c r="AJ75" s="183"/>
      <c r="AK75" s="183"/>
      <c r="AL75" s="183"/>
      <c r="AM75" s="158"/>
      <c r="AN75" s="158"/>
      <c r="AO75" s="158"/>
      <c r="AP75" s="158"/>
      <c r="AQ75" s="158"/>
      <c r="AR75" s="158"/>
      <c r="AS75" s="158"/>
      <c r="AT75" s="159"/>
      <c r="AU75" s="183"/>
      <c r="AV75" s="183"/>
      <c r="AW75" s="183"/>
      <c r="AX75" s="159"/>
      <c r="AY75" s="159"/>
      <c r="AZ75" s="159"/>
      <c r="BA75" s="196"/>
      <c r="BB75" s="34">
        <f t="shared" si="13"/>
        <v>0</v>
      </c>
    </row>
    <row r="76" spans="1:55" ht="63.75" customHeight="1" x14ac:dyDescent="0.25">
      <c r="A76" s="190"/>
      <c r="B76" s="191"/>
      <c r="C76" s="185"/>
      <c r="D76" s="41" t="s">
        <v>162</v>
      </c>
      <c r="E76" s="41" t="s">
        <v>163</v>
      </c>
      <c r="F76" s="41">
        <v>7000</v>
      </c>
      <c r="G76" s="31" t="s">
        <v>164</v>
      </c>
      <c r="H76" s="32">
        <v>2.5499999999999998</v>
      </c>
      <c r="I76" s="32">
        <f t="shared" si="20"/>
        <v>17850</v>
      </c>
      <c r="J76" s="32" t="s">
        <v>36</v>
      </c>
      <c r="K76" s="33" t="s">
        <v>36</v>
      </c>
      <c r="L76" s="32">
        <f>I76</f>
        <v>17850</v>
      </c>
      <c r="M76" s="158"/>
      <c r="N76" s="158"/>
      <c r="O76" s="158"/>
      <c r="P76" s="158"/>
      <c r="Q76" s="158"/>
      <c r="R76" s="183"/>
      <c r="S76" s="183"/>
      <c r="T76" s="183"/>
      <c r="U76" s="183"/>
      <c r="V76" s="183"/>
      <c r="W76" s="183"/>
      <c r="X76" s="158"/>
      <c r="Y76" s="158"/>
      <c r="Z76" s="158"/>
      <c r="AA76" s="158"/>
      <c r="AB76" s="158"/>
      <c r="AC76" s="158"/>
      <c r="AD76" s="158"/>
      <c r="AE76" s="158"/>
      <c r="AF76" s="158"/>
      <c r="AG76" s="183"/>
      <c r="AH76" s="183"/>
      <c r="AI76" s="183"/>
      <c r="AJ76" s="183"/>
      <c r="AK76" s="183"/>
      <c r="AL76" s="183"/>
      <c r="AM76" s="158"/>
      <c r="AN76" s="158"/>
      <c r="AO76" s="158"/>
      <c r="AP76" s="158"/>
      <c r="AQ76" s="158"/>
      <c r="AR76" s="158"/>
      <c r="AS76" s="158"/>
      <c r="AT76" s="159"/>
      <c r="AU76" s="183"/>
      <c r="AV76" s="183"/>
      <c r="AW76" s="183"/>
      <c r="AX76" s="159"/>
      <c r="AY76" s="159"/>
      <c r="AZ76" s="159"/>
      <c r="BA76" s="196"/>
      <c r="BB76" s="34">
        <f t="shared" si="13"/>
        <v>0</v>
      </c>
    </row>
    <row r="77" spans="1:55" ht="75" customHeight="1" x14ac:dyDescent="0.25">
      <c r="A77" s="169"/>
      <c r="B77" s="167"/>
      <c r="C77" s="186"/>
      <c r="D77" s="41" t="s">
        <v>119</v>
      </c>
      <c r="E77" s="41" t="s">
        <v>165</v>
      </c>
      <c r="F77" s="41">
        <v>289.28399999999999</v>
      </c>
      <c r="G77" s="42" t="s">
        <v>160</v>
      </c>
      <c r="H77" s="32">
        <v>101</v>
      </c>
      <c r="I77" s="32">
        <f>F77*H77</f>
        <v>29217.683999999997</v>
      </c>
      <c r="J77" s="41" t="s">
        <v>161</v>
      </c>
      <c r="K77" s="41">
        <v>1.05</v>
      </c>
      <c r="L77" s="32">
        <f t="shared" si="21"/>
        <v>30678.568199999998</v>
      </c>
      <c r="M77" s="154"/>
      <c r="N77" s="154"/>
      <c r="O77" s="154"/>
      <c r="P77" s="154"/>
      <c r="Q77" s="154"/>
      <c r="R77" s="152"/>
      <c r="S77" s="152"/>
      <c r="T77" s="152"/>
      <c r="U77" s="152"/>
      <c r="V77" s="152"/>
      <c r="W77" s="152"/>
      <c r="X77" s="154"/>
      <c r="Y77" s="154"/>
      <c r="Z77" s="154"/>
      <c r="AA77" s="154"/>
      <c r="AB77" s="154"/>
      <c r="AC77" s="154"/>
      <c r="AD77" s="154"/>
      <c r="AE77" s="154"/>
      <c r="AF77" s="154"/>
      <c r="AG77" s="152"/>
      <c r="AH77" s="152"/>
      <c r="AI77" s="152"/>
      <c r="AJ77" s="152"/>
      <c r="AK77" s="152"/>
      <c r="AL77" s="152"/>
      <c r="AM77" s="154"/>
      <c r="AN77" s="154"/>
      <c r="AO77" s="154"/>
      <c r="AP77" s="154"/>
      <c r="AQ77" s="154"/>
      <c r="AR77" s="154"/>
      <c r="AS77" s="154"/>
      <c r="AT77" s="159"/>
      <c r="AU77" s="152"/>
      <c r="AV77" s="152"/>
      <c r="AW77" s="152"/>
      <c r="AX77" s="159"/>
      <c r="AY77" s="159"/>
      <c r="AZ77" s="159"/>
      <c r="BA77" s="196"/>
      <c r="BB77" s="34">
        <f t="shared" si="13"/>
        <v>0</v>
      </c>
    </row>
    <row r="78" spans="1:55" ht="42.75" customHeight="1" x14ac:dyDescent="0.25">
      <c r="A78" s="168">
        <v>15</v>
      </c>
      <c r="B78" s="166" t="s">
        <v>220</v>
      </c>
      <c r="C78" s="184">
        <v>35</v>
      </c>
      <c r="D78" s="41" t="s">
        <v>150</v>
      </c>
      <c r="E78" s="41" t="s">
        <v>33</v>
      </c>
      <c r="F78" s="41">
        <v>10</v>
      </c>
      <c r="G78" s="31" t="s">
        <v>177</v>
      </c>
      <c r="H78" s="32">
        <v>5533</v>
      </c>
      <c r="I78" s="32">
        <f t="shared" ref="I78:I116" si="22">F78*H78</f>
        <v>55330</v>
      </c>
      <c r="J78" s="32" t="s">
        <v>59</v>
      </c>
      <c r="K78" s="33">
        <v>1.03</v>
      </c>
      <c r="L78" s="32">
        <f t="shared" si="21"/>
        <v>56989.9</v>
      </c>
      <c r="M78" s="153">
        <f>SUM(L78:L79)</f>
        <v>58381.9</v>
      </c>
      <c r="N78" s="153">
        <f>M78*0.2</f>
        <v>11676.380000000001</v>
      </c>
      <c r="O78" s="153">
        <f>M78+N78</f>
        <v>70058.28</v>
      </c>
      <c r="P78" s="153">
        <f>X78+Z78</f>
        <v>83077.318868060174</v>
      </c>
      <c r="Q78" s="153">
        <f>P78</f>
        <v>83077.318868060174</v>
      </c>
      <c r="R78" s="151">
        <v>1.0680000000000001</v>
      </c>
      <c r="S78" s="151">
        <v>1.056</v>
      </c>
      <c r="T78" s="151">
        <v>1.054</v>
      </c>
      <c r="U78" s="151">
        <v>1.0509999999999999</v>
      </c>
      <c r="V78" s="151">
        <v>1.0489999999999999</v>
      </c>
      <c r="W78" s="151">
        <v>1.0469999999999999</v>
      </c>
      <c r="X78" s="153">
        <f>L79*1.2*R78</f>
        <v>1783.9872</v>
      </c>
      <c r="Y78" s="153">
        <v>0</v>
      </c>
      <c r="Z78" s="153">
        <f>L78*1.2*R78*S78*T78</f>
        <v>81293.331668060171</v>
      </c>
      <c r="AA78" s="153">
        <v>0</v>
      </c>
      <c r="AB78" s="153">
        <v>0</v>
      </c>
      <c r="AC78" s="153">
        <v>0</v>
      </c>
      <c r="AD78" s="153">
        <f>M78*1.2</f>
        <v>70058.28</v>
      </c>
      <c r="AE78" s="153">
        <f>AM78+L78*1.2*AG78*AH78*AI78</f>
        <v>82691.676877224963</v>
      </c>
      <c r="AF78" s="153">
        <f>AM78+AN78+AO78+AP78+AQ78+AR78</f>
        <v>82691.676877224963</v>
      </c>
      <c r="AG78" s="151">
        <v>1.0680000000000001</v>
      </c>
      <c r="AH78" s="151">
        <v>1.056</v>
      </c>
      <c r="AI78" s="151">
        <v>1.0489999999999999</v>
      </c>
      <c r="AJ78" s="151">
        <v>1.139</v>
      </c>
      <c r="AK78" s="151">
        <v>1.0589999999999999</v>
      </c>
      <c r="AL78" s="151">
        <v>1.0529999999999999</v>
      </c>
      <c r="AM78" s="153">
        <f>L79*1.2*AG78</f>
        <v>1783.9872</v>
      </c>
      <c r="AN78" s="153">
        <v>0</v>
      </c>
      <c r="AO78" s="153">
        <f>L78*1.2*AG78*AH78*AI78</f>
        <v>80907.68967722496</v>
      </c>
      <c r="AP78" s="153">
        <v>0</v>
      </c>
      <c r="AQ78" s="153">
        <v>0</v>
      </c>
      <c r="AR78" s="153">
        <v>0</v>
      </c>
      <c r="AS78" s="153">
        <v>58381.9</v>
      </c>
      <c r="AT78" s="153">
        <v>75416.247390839999</v>
      </c>
      <c r="AU78" s="151">
        <v>1.0740000000000001</v>
      </c>
      <c r="AV78" s="151">
        <v>1.0369999999999999</v>
      </c>
      <c r="AW78" s="151">
        <v>1.0389999999999999</v>
      </c>
      <c r="AX78" s="153">
        <v>1495.008</v>
      </c>
      <c r="AY78" s="153">
        <v>0</v>
      </c>
      <c r="AZ78" s="153">
        <v>79136.661742562152</v>
      </c>
      <c r="BA78" s="187">
        <f>AS78-O78</f>
        <v>-11676.379999999997</v>
      </c>
    </row>
    <row r="79" spans="1:55" ht="80.25" customHeight="1" x14ac:dyDescent="0.25">
      <c r="A79" s="169"/>
      <c r="B79" s="167"/>
      <c r="C79" s="186"/>
      <c r="D79" s="41" t="s">
        <v>201</v>
      </c>
      <c r="E79" s="41" t="s">
        <v>33</v>
      </c>
      <c r="F79" s="41">
        <v>1</v>
      </c>
      <c r="G79" s="31"/>
      <c r="H79" s="32">
        <v>1392</v>
      </c>
      <c r="I79" s="32">
        <f t="shared" ref="I79:I90" si="23">F79*H79</f>
        <v>1392</v>
      </c>
      <c r="J79" s="32" t="s">
        <v>36</v>
      </c>
      <c r="K79" s="33" t="s">
        <v>36</v>
      </c>
      <c r="L79" s="32">
        <f>I79</f>
        <v>1392</v>
      </c>
      <c r="M79" s="154"/>
      <c r="N79" s="154"/>
      <c r="O79" s="154"/>
      <c r="P79" s="154"/>
      <c r="Q79" s="154"/>
      <c r="R79" s="152"/>
      <c r="S79" s="152"/>
      <c r="T79" s="152"/>
      <c r="U79" s="152"/>
      <c r="V79" s="152"/>
      <c r="W79" s="152"/>
      <c r="X79" s="154"/>
      <c r="Y79" s="154"/>
      <c r="Z79" s="154"/>
      <c r="AA79" s="154"/>
      <c r="AB79" s="154"/>
      <c r="AC79" s="154"/>
      <c r="AD79" s="154"/>
      <c r="AE79" s="154"/>
      <c r="AF79" s="154"/>
      <c r="AG79" s="152"/>
      <c r="AH79" s="152"/>
      <c r="AI79" s="152"/>
      <c r="AJ79" s="152"/>
      <c r="AK79" s="152"/>
      <c r="AL79" s="152"/>
      <c r="AM79" s="154"/>
      <c r="AN79" s="154"/>
      <c r="AO79" s="154"/>
      <c r="AP79" s="154"/>
      <c r="AQ79" s="154"/>
      <c r="AR79" s="154"/>
      <c r="AS79" s="154"/>
      <c r="AT79" s="154"/>
      <c r="AU79" s="152"/>
      <c r="AV79" s="152"/>
      <c r="AW79" s="152"/>
      <c r="AX79" s="154"/>
      <c r="AY79" s="154"/>
      <c r="AZ79" s="154"/>
      <c r="BA79" s="189"/>
    </row>
    <row r="80" spans="1:55" s="39" customFormat="1" ht="75" customHeight="1" x14ac:dyDescent="0.25">
      <c r="A80" s="180">
        <v>16</v>
      </c>
      <c r="B80" s="171" t="s">
        <v>179</v>
      </c>
      <c r="C80" s="174">
        <v>35</v>
      </c>
      <c r="D80" s="35" t="s">
        <v>155</v>
      </c>
      <c r="E80" s="35" t="s">
        <v>33</v>
      </c>
      <c r="F80" s="35">
        <v>30</v>
      </c>
      <c r="G80" s="40" t="s">
        <v>276</v>
      </c>
      <c r="H80" s="36">
        <v>1188</v>
      </c>
      <c r="I80" s="36">
        <f t="shared" si="23"/>
        <v>35640</v>
      </c>
      <c r="J80" s="36" t="s">
        <v>59</v>
      </c>
      <c r="K80" s="37">
        <v>1.03</v>
      </c>
      <c r="L80" s="36">
        <f>I80*K80</f>
        <v>36709.200000000004</v>
      </c>
      <c r="M80" s="155">
        <f>SUM(L80:L90)</f>
        <v>51794.947049999995</v>
      </c>
      <c r="N80" s="155">
        <f>M80*0.2</f>
        <v>10358.98941</v>
      </c>
      <c r="O80" s="155">
        <f>M80+N80</f>
        <v>62153.936459999997</v>
      </c>
      <c r="P80" s="153">
        <f>O80*R80*S80*T80</f>
        <v>73882.982936717992</v>
      </c>
      <c r="Q80" s="153">
        <f>X80+Y80+Z80+AA80+AB80+AC80</f>
        <v>77432.767978055388</v>
      </c>
      <c r="R80" s="161">
        <v>1.0680000000000001</v>
      </c>
      <c r="S80" s="161">
        <v>1.056</v>
      </c>
      <c r="T80" s="161">
        <v>1.054</v>
      </c>
      <c r="U80" s="161">
        <v>1.0509999999999999</v>
      </c>
      <c r="V80" s="161">
        <v>1.0489999999999999</v>
      </c>
      <c r="W80" s="161">
        <v>1.0469999999999999</v>
      </c>
      <c r="X80" s="155">
        <v>0</v>
      </c>
      <c r="Y80" s="155">
        <v>0</v>
      </c>
      <c r="Z80" s="155">
        <f>L90*1.2*R80*S80*T80</f>
        <v>4279.3546752000002</v>
      </c>
      <c r="AA80" s="155">
        <f>SUM(L80:L89)*1.2*R80*S80*T80*U80</f>
        <v>73153.413302855392</v>
      </c>
      <c r="AB80" s="155">
        <v>0</v>
      </c>
      <c r="AC80" s="155">
        <v>0</v>
      </c>
      <c r="AD80" s="155">
        <f>SUM(L80:L90)*1.2</f>
        <v>62153.93645999999</v>
      </c>
      <c r="AE80" s="153">
        <f>(L90*AG80*AH80*AI80)+(SUM(L80:L89)*AG80*AH80*AI80*AJ80)</f>
        <v>69301.252167186394</v>
      </c>
      <c r="AF80" s="153">
        <f>AM80+AN80+AO80+AP80+AQ80+AR80</f>
        <v>83161.502600623673</v>
      </c>
      <c r="AG80" s="161">
        <v>1.0680000000000001</v>
      </c>
      <c r="AH80" s="161">
        <v>1.056</v>
      </c>
      <c r="AI80" s="161">
        <v>1.0489999999999999</v>
      </c>
      <c r="AJ80" s="161">
        <v>1.139</v>
      </c>
      <c r="AK80" s="161">
        <v>1.0589999999999999</v>
      </c>
      <c r="AL80" s="161">
        <v>1.0529999999999999</v>
      </c>
      <c r="AM80" s="155">
        <v>0</v>
      </c>
      <c r="AN80" s="155">
        <v>0</v>
      </c>
      <c r="AO80" s="155">
        <f>L90*1.2*AG80*AH80*AI80</f>
        <v>4259.0541312000005</v>
      </c>
      <c r="AP80" s="155">
        <f>SUM(L80:L89)*1.2*AG80*AH80*AI80*AJ80</f>
        <v>78902.448469423674</v>
      </c>
      <c r="AQ80" s="155">
        <v>0</v>
      </c>
      <c r="AR80" s="155">
        <v>0</v>
      </c>
      <c r="AS80" s="155">
        <v>3600</v>
      </c>
      <c r="AT80" s="155">
        <v>4165.8256151999994</v>
      </c>
      <c r="AU80" s="161">
        <v>1.0740000000000001</v>
      </c>
      <c r="AV80" s="161">
        <v>1.0369999999999999</v>
      </c>
      <c r="AW80" s="161">
        <v>1.0389999999999999</v>
      </c>
      <c r="AX80" s="155">
        <v>0</v>
      </c>
      <c r="AY80" s="155">
        <v>0</v>
      </c>
      <c r="AZ80" s="155">
        <v>4165.8256151999994</v>
      </c>
      <c r="BA80" s="155">
        <f>AS9-O9</f>
        <v>0</v>
      </c>
    </row>
    <row r="81" spans="1:56" s="39" customFormat="1" ht="75" customHeight="1" x14ac:dyDescent="0.25">
      <c r="A81" s="181"/>
      <c r="B81" s="172"/>
      <c r="C81" s="175"/>
      <c r="D81" s="35" t="s">
        <v>102</v>
      </c>
      <c r="E81" s="35" t="s">
        <v>241</v>
      </c>
      <c r="F81" s="35">
        <v>18</v>
      </c>
      <c r="G81" s="40" t="s">
        <v>277</v>
      </c>
      <c r="H81" s="36">
        <v>180</v>
      </c>
      <c r="I81" s="36">
        <v>3240</v>
      </c>
      <c r="J81" s="36" t="s">
        <v>100</v>
      </c>
      <c r="K81" s="37">
        <v>1.04</v>
      </c>
      <c r="L81" s="36">
        <v>3369.6</v>
      </c>
      <c r="M81" s="156"/>
      <c r="N81" s="156"/>
      <c r="O81" s="156"/>
      <c r="P81" s="158"/>
      <c r="Q81" s="158"/>
      <c r="R81" s="162"/>
      <c r="S81" s="162"/>
      <c r="T81" s="162"/>
      <c r="U81" s="162"/>
      <c r="V81" s="162"/>
      <c r="W81" s="162"/>
      <c r="X81" s="156"/>
      <c r="Y81" s="156"/>
      <c r="Z81" s="156"/>
      <c r="AA81" s="156"/>
      <c r="AB81" s="156"/>
      <c r="AC81" s="156"/>
      <c r="AD81" s="156"/>
      <c r="AE81" s="158"/>
      <c r="AF81" s="158"/>
      <c r="AG81" s="162"/>
      <c r="AH81" s="162"/>
      <c r="AI81" s="162"/>
      <c r="AJ81" s="162"/>
      <c r="AK81" s="162"/>
      <c r="AL81" s="162"/>
      <c r="AM81" s="156"/>
      <c r="AN81" s="156"/>
      <c r="AO81" s="156"/>
      <c r="AP81" s="156"/>
      <c r="AQ81" s="156"/>
      <c r="AR81" s="156"/>
      <c r="AS81" s="156"/>
      <c r="AT81" s="156"/>
      <c r="AU81" s="162"/>
      <c r="AV81" s="162"/>
      <c r="AW81" s="162"/>
      <c r="AX81" s="156"/>
      <c r="AY81" s="156"/>
      <c r="AZ81" s="156"/>
      <c r="BA81" s="156"/>
    </row>
    <row r="82" spans="1:56" s="39" customFormat="1" ht="75" customHeight="1" x14ac:dyDescent="0.25">
      <c r="A82" s="181"/>
      <c r="B82" s="172"/>
      <c r="C82" s="175"/>
      <c r="D82" s="35" t="s">
        <v>113</v>
      </c>
      <c r="E82" s="35" t="s">
        <v>241</v>
      </c>
      <c r="F82" s="35">
        <v>1</v>
      </c>
      <c r="G82" s="40" t="s">
        <v>114</v>
      </c>
      <c r="H82" s="36">
        <v>1571</v>
      </c>
      <c r="I82" s="36">
        <v>1571</v>
      </c>
      <c r="J82" s="36" t="s">
        <v>226</v>
      </c>
      <c r="K82" s="37">
        <v>1.04</v>
      </c>
      <c r="L82" s="36">
        <v>1633.8400000000001</v>
      </c>
      <c r="M82" s="156"/>
      <c r="N82" s="156"/>
      <c r="O82" s="156"/>
      <c r="P82" s="158"/>
      <c r="Q82" s="158"/>
      <c r="R82" s="162"/>
      <c r="S82" s="162"/>
      <c r="T82" s="162"/>
      <c r="U82" s="162"/>
      <c r="V82" s="162"/>
      <c r="W82" s="162"/>
      <c r="X82" s="156"/>
      <c r="Y82" s="156"/>
      <c r="Z82" s="156"/>
      <c r="AA82" s="156"/>
      <c r="AB82" s="156"/>
      <c r="AC82" s="156"/>
      <c r="AD82" s="156"/>
      <c r="AE82" s="158"/>
      <c r="AF82" s="158"/>
      <c r="AG82" s="162"/>
      <c r="AH82" s="162"/>
      <c r="AI82" s="162"/>
      <c r="AJ82" s="162"/>
      <c r="AK82" s="162"/>
      <c r="AL82" s="162"/>
      <c r="AM82" s="156"/>
      <c r="AN82" s="156"/>
      <c r="AO82" s="156"/>
      <c r="AP82" s="156"/>
      <c r="AQ82" s="156"/>
      <c r="AR82" s="156"/>
      <c r="AS82" s="156"/>
      <c r="AT82" s="156"/>
      <c r="AU82" s="162"/>
      <c r="AV82" s="162"/>
      <c r="AW82" s="162"/>
      <c r="AX82" s="156"/>
      <c r="AY82" s="156"/>
      <c r="AZ82" s="156"/>
      <c r="BA82" s="156"/>
    </row>
    <row r="83" spans="1:56" s="39" customFormat="1" ht="75" customHeight="1" x14ac:dyDescent="0.25">
      <c r="A83" s="181"/>
      <c r="B83" s="172"/>
      <c r="C83" s="175"/>
      <c r="D83" s="35" t="s">
        <v>278</v>
      </c>
      <c r="E83" s="35" t="s">
        <v>279</v>
      </c>
      <c r="F83" s="35">
        <v>1.8</v>
      </c>
      <c r="G83" s="40" t="s">
        <v>280</v>
      </c>
      <c r="H83" s="36">
        <v>386</v>
      </c>
      <c r="I83" s="36">
        <v>694.80000000000007</v>
      </c>
      <c r="J83" s="36" t="s">
        <v>92</v>
      </c>
      <c r="K83" s="37">
        <v>1.05</v>
      </c>
      <c r="L83" s="36">
        <v>729.54000000000008</v>
      </c>
      <c r="M83" s="156"/>
      <c r="N83" s="156"/>
      <c r="O83" s="156"/>
      <c r="P83" s="158"/>
      <c r="Q83" s="158"/>
      <c r="R83" s="162"/>
      <c r="S83" s="162"/>
      <c r="T83" s="162"/>
      <c r="U83" s="162"/>
      <c r="V83" s="162"/>
      <c r="W83" s="162"/>
      <c r="X83" s="156"/>
      <c r="Y83" s="156"/>
      <c r="Z83" s="156"/>
      <c r="AA83" s="156"/>
      <c r="AB83" s="156"/>
      <c r="AC83" s="156"/>
      <c r="AD83" s="156"/>
      <c r="AE83" s="158"/>
      <c r="AF83" s="158"/>
      <c r="AG83" s="162"/>
      <c r="AH83" s="162"/>
      <c r="AI83" s="162"/>
      <c r="AJ83" s="162"/>
      <c r="AK83" s="162"/>
      <c r="AL83" s="162"/>
      <c r="AM83" s="156"/>
      <c r="AN83" s="156"/>
      <c r="AO83" s="156"/>
      <c r="AP83" s="156"/>
      <c r="AQ83" s="156"/>
      <c r="AR83" s="156"/>
      <c r="AS83" s="156"/>
      <c r="AT83" s="156"/>
      <c r="AU83" s="162"/>
      <c r="AV83" s="162"/>
      <c r="AW83" s="162"/>
      <c r="AX83" s="156"/>
      <c r="AY83" s="156"/>
      <c r="AZ83" s="156"/>
      <c r="BA83" s="156"/>
    </row>
    <row r="84" spans="1:56" s="39" customFormat="1" ht="75" customHeight="1" x14ac:dyDescent="0.25">
      <c r="A84" s="181"/>
      <c r="B84" s="172"/>
      <c r="C84" s="175"/>
      <c r="D84" s="35" t="s">
        <v>229</v>
      </c>
      <c r="E84" s="35" t="s">
        <v>34</v>
      </c>
      <c r="F84" s="35">
        <v>0.28999999999999998</v>
      </c>
      <c r="G84" s="40" t="s">
        <v>281</v>
      </c>
      <c r="H84" s="36">
        <v>199</v>
      </c>
      <c r="I84" s="36">
        <v>57.709999999999994</v>
      </c>
      <c r="J84" s="36" t="s">
        <v>144</v>
      </c>
      <c r="K84" s="37">
        <v>1.1200000000000001</v>
      </c>
      <c r="L84" s="36">
        <v>64.635199999999998</v>
      </c>
      <c r="M84" s="156"/>
      <c r="N84" s="156"/>
      <c r="O84" s="156"/>
      <c r="P84" s="158"/>
      <c r="Q84" s="158"/>
      <c r="R84" s="162"/>
      <c r="S84" s="162"/>
      <c r="T84" s="162"/>
      <c r="U84" s="162"/>
      <c r="V84" s="162"/>
      <c r="W84" s="162"/>
      <c r="X84" s="156"/>
      <c r="Y84" s="156"/>
      <c r="Z84" s="156"/>
      <c r="AA84" s="156"/>
      <c r="AB84" s="156"/>
      <c r="AC84" s="156"/>
      <c r="AD84" s="156"/>
      <c r="AE84" s="158"/>
      <c r="AF84" s="158"/>
      <c r="AG84" s="162"/>
      <c r="AH84" s="162"/>
      <c r="AI84" s="162"/>
      <c r="AJ84" s="162"/>
      <c r="AK84" s="162"/>
      <c r="AL84" s="162"/>
      <c r="AM84" s="156"/>
      <c r="AN84" s="156"/>
      <c r="AO84" s="156"/>
      <c r="AP84" s="156"/>
      <c r="AQ84" s="156"/>
      <c r="AR84" s="156"/>
      <c r="AS84" s="156"/>
      <c r="AT84" s="156"/>
      <c r="AU84" s="162"/>
      <c r="AV84" s="162"/>
      <c r="AW84" s="162"/>
      <c r="AX84" s="156"/>
      <c r="AY84" s="156"/>
      <c r="AZ84" s="156"/>
      <c r="BA84" s="156"/>
    </row>
    <row r="85" spans="1:56" s="39" customFormat="1" ht="75" customHeight="1" x14ac:dyDescent="0.25">
      <c r="A85" s="181"/>
      <c r="B85" s="172"/>
      <c r="C85" s="175"/>
      <c r="D85" s="35" t="s">
        <v>282</v>
      </c>
      <c r="E85" s="35" t="s">
        <v>34</v>
      </c>
      <c r="F85" s="35">
        <v>0.93</v>
      </c>
      <c r="G85" s="40" t="s">
        <v>281</v>
      </c>
      <c r="H85" s="36">
        <v>215</v>
      </c>
      <c r="I85" s="36">
        <v>199.95000000000002</v>
      </c>
      <c r="J85" s="36" t="s">
        <v>144</v>
      </c>
      <c r="K85" s="37">
        <v>1.1200000000000001</v>
      </c>
      <c r="L85" s="36">
        <v>223.94400000000005</v>
      </c>
      <c r="M85" s="156"/>
      <c r="N85" s="156"/>
      <c r="O85" s="156"/>
      <c r="P85" s="158"/>
      <c r="Q85" s="158"/>
      <c r="R85" s="162"/>
      <c r="S85" s="162"/>
      <c r="T85" s="162"/>
      <c r="U85" s="162"/>
      <c r="V85" s="162"/>
      <c r="W85" s="162"/>
      <c r="X85" s="156"/>
      <c r="Y85" s="156"/>
      <c r="Z85" s="156"/>
      <c r="AA85" s="156"/>
      <c r="AB85" s="156"/>
      <c r="AC85" s="156"/>
      <c r="AD85" s="156"/>
      <c r="AE85" s="158"/>
      <c r="AF85" s="158"/>
      <c r="AG85" s="162"/>
      <c r="AH85" s="162"/>
      <c r="AI85" s="162"/>
      <c r="AJ85" s="162"/>
      <c r="AK85" s="162"/>
      <c r="AL85" s="162"/>
      <c r="AM85" s="156"/>
      <c r="AN85" s="156"/>
      <c r="AO85" s="156"/>
      <c r="AP85" s="156"/>
      <c r="AQ85" s="156"/>
      <c r="AR85" s="156"/>
      <c r="AS85" s="156"/>
      <c r="AT85" s="156"/>
      <c r="AU85" s="162"/>
      <c r="AV85" s="162"/>
      <c r="AW85" s="162"/>
      <c r="AX85" s="156"/>
      <c r="AY85" s="156"/>
      <c r="AZ85" s="156"/>
      <c r="BA85" s="156"/>
    </row>
    <row r="86" spans="1:56" s="39" customFormat="1" ht="75" customHeight="1" x14ac:dyDescent="0.25">
      <c r="A86" s="181"/>
      <c r="B86" s="172"/>
      <c r="C86" s="175"/>
      <c r="D86" s="35" t="s">
        <v>282</v>
      </c>
      <c r="E86" s="35" t="s">
        <v>34</v>
      </c>
      <c r="F86" s="35">
        <v>1.08</v>
      </c>
      <c r="G86" s="40" t="s">
        <v>283</v>
      </c>
      <c r="H86" s="36">
        <v>168</v>
      </c>
      <c r="I86" s="36">
        <v>181.44</v>
      </c>
      <c r="J86" s="36" t="s">
        <v>144</v>
      </c>
      <c r="K86" s="37">
        <v>1.1200000000000001</v>
      </c>
      <c r="L86" s="36">
        <v>203.21280000000002</v>
      </c>
      <c r="M86" s="156"/>
      <c r="N86" s="156"/>
      <c r="O86" s="156"/>
      <c r="P86" s="158"/>
      <c r="Q86" s="158"/>
      <c r="R86" s="162"/>
      <c r="S86" s="162"/>
      <c r="T86" s="162"/>
      <c r="U86" s="162"/>
      <c r="V86" s="162"/>
      <c r="W86" s="162"/>
      <c r="X86" s="156"/>
      <c r="Y86" s="156"/>
      <c r="Z86" s="156"/>
      <c r="AA86" s="156"/>
      <c r="AB86" s="156"/>
      <c r="AC86" s="156"/>
      <c r="AD86" s="156"/>
      <c r="AE86" s="158"/>
      <c r="AF86" s="158"/>
      <c r="AG86" s="162"/>
      <c r="AH86" s="162"/>
      <c r="AI86" s="162"/>
      <c r="AJ86" s="162"/>
      <c r="AK86" s="162"/>
      <c r="AL86" s="162"/>
      <c r="AM86" s="156"/>
      <c r="AN86" s="156"/>
      <c r="AO86" s="156"/>
      <c r="AP86" s="156"/>
      <c r="AQ86" s="156"/>
      <c r="AR86" s="156"/>
      <c r="AS86" s="156"/>
      <c r="AT86" s="156"/>
      <c r="AU86" s="162"/>
      <c r="AV86" s="162"/>
      <c r="AW86" s="162"/>
      <c r="AX86" s="156"/>
      <c r="AY86" s="156"/>
      <c r="AZ86" s="156"/>
      <c r="BA86" s="156"/>
    </row>
    <row r="87" spans="1:56" s="39" customFormat="1" ht="75" customHeight="1" x14ac:dyDescent="0.25">
      <c r="A87" s="181"/>
      <c r="B87" s="172"/>
      <c r="C87" s="175"/>
      <c r="D87" s="35" t="s">
        <v>284</v>
      </c>
      <c r="E87" s="35" t="s">
        <v>34</v>
      </c>
      <c r="F87" s="35">
        <v>0.125</v>
      </c>
      <c r="G87" s="40" t="s">
        <v>285</v>
      </c>
      <c r="H87" s="36">
        <v>539</v>
      </c>
      <c r="I87" s="36">
        <v>67.375</v>
      </c>
      <c r="J87" s="36" t="s">
        <v>272</v>
      </c>
      <c r="K87" s="37">
        <v>1.1200000000000001</v>
      </c>
      <c r="L87" s="36">
        <v>1953.6583500000004</v>
      </c>
      <c r="M87" s="156"/>
      <c r="N87" s="156"/>
      <c r="O87" s="156"/>
      <c r="P87" s="158"/>
      <c r="Q87" s="158"/>
      <c r="R87" s="162"/>
      <c r="S87" s="162"/>
      <c r="T87" s="162"/>
      <c r="U87" s="162"/>
      <c r="V87" s="162"/>
      <c r="W87" s="162"/>
      <c r="X87" s="156"/>
      <c r="Y87" s="156"/>
      <c r="Z87" s="156"/>
      <c r="AA87" s="156"/>
      <c r="AB87" s="156"/>
      <c r="AC87" s="156"/>
      <c r="AD87" s="156"/>
      <c r="AE87" s="158"/>
      <c r="AF87" s="158"/>
      <c r="AG87" s="162"/>
      <c r="AH87" s="162"/>
      <c r="AI87" s="162"/>
      <c r="AJ87" s="162"/>
      <c r="AK87" s="162"/>
      <c r="AL87" s="162"/>
      <c r="AM87" s="156"/>
      <c r="AN87" s="156"/>
      <c r="AO87" s="156"/>
      <c r="AP87" s="156"/>
      <c r="AQ87" s="156"/>
      <c r="AR87" s="156"/>
      <c r="AS87" s="156"/>
      <c r="AT87" s="156"/>
      <c r="AU87" s="162"/>
      <c r="AV87" s="162"/>
      <c r="AW87" s="162"/>
      <c r="AX87" s="156"/>
      <c r="AY87" s="156"/>
      <c r="AZ87" s="156"/>
      <c r="BA87" s="156"/>
    </row>
    <row r="88" spans="1:56" s="39" customFormat="1" ht="75" customHeight="1" x14ac:dyDescent="0.25">
      <c r="A88" s="181"/>
      <c r="B88" s="172"/>
      <c r="C88" s="175"/>
      <c r="D88" s="35" t="s">
        <v>134</v>
      </c>
      <c r="E88" s="35" t="s">
        <v>34</v>
      </c>
      <c r="F88" s="35">
        <v>0.33700000000000002</v>
      </c>
      <c r="G88" s="40" t="s">
        <v>286</v>
      </c>
      <c r="H88" s="36">
        <v>2160</v>
      </c>
      <c r="I88" s="36">
        <v>727.92000000000007</v>
      </c>
      <c r="J88" s="36" t="s">
        <v>272</v>
      </c>
      <c r="K88" s="37">
        <v>1.1200000000000001</v>
      </c>
      <c r="L88" s="36">
        <v>1953.6583500000004</v>
      </c>
      <c r="M88" s="156"/>
      <c r="N88" s="156"/>
      <c r="O88" s="156"/>
      <c r="P88" s="158"/>
      <c r="Q88" s="158"/>
      <c r="R88" s="162"/>
      <c r="S88" s="162"/>
      <c r="T88" s="162"/>
      <c r="U88" s="162"/>
      <c r="V88" s="162"/>
      <c r="W88" s="162"/>
      <c r="X88" s="156"/>
      <c r="Y88" s="156"/>
      <c r="Z88" s="156"/>
      <c r="AA88" s="156"/>
      <c r="AB88" s="156"/>
      <c r="AC88" s="156"/>
      <c r="AD88" s="156"/>
      <c r="AE88" s="158"/>
      <c r="AF88" s="158"/>
      <c r="AG88" s="162"/>
      <c r="AH88" s="162"/>
      <c r="AI88" s="162"/>
      <c r="AJ88" s="162"/>
      <c r="AK88" s="162"/>
      <c r="AL88" s="162"/>
      <c r="AM88" s="156"/>
      <c r="AN88" s="156"/>
      <c r="AO88" s="156"/>
      <c r="AP88" s="156"/>
      <c r="AQ88" s="156"/>
      <c r="AR88" s="156"/>
      <c r="AS88" s="156"/>
      <c r="AT88" s="156"/>
      <c r="AU88" s="162"/>
      <c r="AV88" s="162"/>
      <c r="AW88" s="162"/>
      <c r="AX88" s="156"/>
      <c r="AY88" s="156"/>
      <c r="AZ88" s="156"/>
      <c r="BA88" s="156"/>
    </row>
    <row r="89" spans="1:56" s="39" customFormat="1" ht="75" customHeight="1" x14ac:dyDescent="0.25">
      <c r="A89" s="181"/>
      <c r="B89" s="172"/>
      <c r="C89" s="175"/>
      <c r="D89" s="35" t="s">
        <v>287</v>
      </c>
      <c r="E89" s="35" t="s">
        <v>34</v>
      </c>
      <c r="F89" s="35">
        <v>0.13300000000000001</v>
      </c>
      <c r="G89" s="40" t="s">
        <v>288</v>
      </c>
      <c r="H89" s="36">
        <v>2214</v>
      </c>
      <c r="I89" s="36">
        <v>294.46199999999999</v>
      </c>
      <c r="J89" s="36" t="s">
        <v>272</v>
      </c>
      <c r="K89" s="37">
        <v>1.1200000000000001</v>
      </c>
      <c r="L89" s="36">
        <v>1953.6583500000004</v>
      </c>
      <c r="M89" s="156"/>
      <c r="N89" s="156"/>
      <c r="O89" s="156"/>
      <c r="P89" s="158"/>
      <c r="Q89" s="158"/>
      <c r="R89" s="162"/>
      <c r="S89" s="162"/>
      <c r="T89" s="162"/>
      <c r="U89" s="162"/>
      <c r="V89" s="162"/>
      <c r="W89" s="162"/>
      <c r="X89" s="156"/>
      <c r="Y89" s="156"/>
      <c r="Z89" s="156"/>
      <c r="AA89" s="156"/>
      <c r="AB89" s="156"/>
      <c r="AC89" s="156"/>
      <c r="AD89" s="156"/>
      <c r="AE89" s="158"/>
      <c r="AF89" s="158"/>
      <c r="AG89" s="162"/>
      <c r="AH89" s="162"/>
      <c r="AI89" s="162"/>
      <c r="AJ89" s="162"/>
      <c r="AK89" s="162"/>
      <c r="AL89" s="162"/>
      <c r="AM89" s="156"/>
      <c r="AN89" s="156"/>
      <c r="AO89" s="156"/>
      <c r="AP89" s="156"/>
      <c r="AQ89" s="156"/>
      <c r="AR89" s="156"/>
      <c r="AS89" s="156"/>
      <c r="AT89" s="156"/>
      <c r="AU89" s="162"/>
      <c r="AV89" s="162"/>
      <c r="AW89" s="162"/>
      <c r="AX89" s="156"/>
      <c r="AY89" s="156"/>
      <c r="AZ89" s="156"/>
      <c r="BA89" s="156"/>
    </row>
    <row r="90" spans="1:56" s="39" customFormat="1" ht="45" customHeight="1" x14ac:dyDescent="0.25">
      <c r="A90" s="182"/>
      <c r="B90" s="173"/>
      <c r="C90" s="176"/>
      <c r="D90" s="35" t="s">
        <v>105</v>
      </c>
      <c r="E90" s="35" t="s">
        <v>41</v>
      </c>
      <c r="F90" s="35">
        <v>1</v>
      </c>
      <c r="G90" s="40" t="s">
        <v>178</v>
      </c>
      <c r="H90" s="36">
        <v>3000</v>
      </c>
      <c r="I90" s="36">
        <f t="shared" si="23"/>
        <v>3000</v>
      </c>
      <c r="J90" s="36" t="s">
        <v>36</v>
      </c>
      <c r="K90" s="37" t="s">
        <v>36</v>
      </c>
      <c r="L90" s="36">
        <f>I90</f>
        <v>3000</v>
      </c>
      <c r="M90" s="157"/>
      <c r="N90" s="157"/>
      <c r="O90" s="157"/>
      <c r="P90" s="154"/>
      <c r="Q90" s="154"/>
      <c r="R90" s="163"/>
      <c r="S90" s="163"/>
      <c r="T90" s="163"/>
      <c r="U90" s="163"/>
      <c r="V90" s="163"/>
      <c r="W90" s="163"/>
      <c r="X90" s="157"/>
      <c r="Y90" s="157"/>
      <c r="Z90" s="157"/>
      <c r="AA90" s="157"/>
      <c r="AB90" s="157"/>
      <c r="AC90" s="157"/>
      <c r="AD90" s="157"/>
      <c r="AE90" s="154"/>
      <c r="AF90" s="154"/>
      <c r="AG90" s="163"/>
      <c r="AH90" s="163"/>
      <c r="AI90" s="163"/>
      <c r="AJ90" s="163"/>
      <c r="AK90" s="163"/>
      <c r="AL90" s="163"/>
      <c r="AM90" s="157"/>
      <c r="AN90" s="157"/>
      <c r="AO90" s="157"/>
      <c r="AP90" s="157"/>
      <c r="AQ90" s="157"/>
      <c r="AR90" s="157"/>
      <c r="AS90" s="157"/>
      <c r="AT90" s="157"/>
      <c r="AU90" s="163"/>
      <c r="AV90" s="163"/>
      <c r="AW90" s="163"/>
      <c r="AX90" s="157"/>
      <c r="AY90" s="157"/>
      <c r="AZ90" s="157"/>
      <c r="BA90" s="157"/>
    </row>
    <row r="91" spans="1:56" s="88" customFormat="1" ht="80.25" customHeight="1" x14ac:dyDescent="0.25">
      <c r="A91" s="180">
        <v>18</v>
      </c>
      <c r="B91" s="171" t="s">
        <v>261</v>
      </c>
      <c r="C91" s="174">
        <v>35</v>
      </c>
      <c r="D91" s="35" t="s">
        <v>150</v>
      </c>
      <c r="E91" s="35" t="s">
        <v>33</v>
      </c>
      <c r="F91" s="35">
        <v>6</v>
      </c>
      <c r="G91" s="57" t="s">
        <v>177</v>
      </c>
      <c r="H91" s="36">
        <v>5533</v>
      </c>
      <c r="I91" s="36">
        <f t="shared" si="22"/>
        <v>33198</v>
      </c>
      <c r="J91" s="36" t="s">
        <v>59</v>
      </c>
      <c r="K91" s="37">
        <v>1.03</v>
      </c>
      <c r="L91" s="36">
        <f>I91*K91</f>
        <v>34193.94</v>
      </c>
      <c r="M91" s="155">
        <f>L91</f>
        <v>34193.94</v>
      </c>
      <c r="N91" s="155">
        <f t="shared" ref="N91:N96" si="24">M91*0.2</f>
        <v>6838.7880000000005</v>
      </c>
      <c r="O91" s="155">
        <f t="shared" ref="O91" si="25">M91+N91</f>
        <v>41032.728000000003</v>
      </c>
      <c r="P91" s="153">
        <f>O91*R91*S91*T91</f>
        <v>48775.999000836106</v>
      </c>
      <c r="Q91" s="153">
        <f>SUM(X91:AC91)</f>
        <v>53775.490122422794</v>
      </c>
      <c r="R91" s="161">
        <v>1.0680000000000001</v>
      </c>
      <c r="S91" s="161">
        <v>1.056</v>
      </c>
      <c r="T91" s="161">
        <v>1.054</v>
      </c>
      <c r="U91" s="161">
        <v>1.0509999999999999</v>
      </c>
      <c r="V91" s="161">
        <v>1.0489999999999999</v>
      </c>
      <c r="W91" s="161">
        <v>1.0469999999999999</v>
      </c>
      <c r="X91" s="155">
        <v>0</v>
      </c>
      <c r="Y91" s="155">
        <v>0</v>
      </c>
      <c r="Z91" s="155">
        <v>0</v>
      </c>
      <c r="AA91" s="155">
        <v>0</v>
      </c>
      <c r="AB91" s="155">
        <f>O91*R91*S91*T91*U91*V91</f>
        <v>53775.490122422794</v>
      </c>
      <c r="AC91" s="155">
        <v>0</v>
      </c>
      <c r="AD91" s="155">
        <f>L92*1.2</f>
        <v>3600</v>
      </c>
      <c r="AE91" s="153">
        <f>AD91*AG91*AH91*AI91*AJ91</f>
        <v>4851.0626554368009</v>
      </c>
      <c r="AF91" s="153">
        <f>AM91+AN91+AO91+AP91+AQ91+AR91</f>
        <v>4851.0626554368009</v>
      </c>
      <c r="AG91" s="161">
        <v>1.0680000000000001</v>
      </c>
      <c r="AH91" s="161">
        <v>1.056</v>
      </c>
      <c r="AI91" s="161">
        <v>1.0489999999999999</v>
      </c>
      <c r="AJ91" s="161">
        <v>1.139</v>
      </c>
      <c r="AK91" s="161">
        <v>1.0589999999999999</v>
      </c>
      <c r="AL91" s="161">
        <v>1.0529999999999999</v>
      </c>
      <c r="AM91" s="155">
        <v>0</v>
      </c>
      <c r="AN91" s="155">
        <v>0</v>
      </c>
      <c r="AO91" s="155">
        <v>0</v>
      </c>
      <c r="AP91" s="155">
        <f>AE91</f>
        <v>4851.0626554368009</v>
      </c>
      <c r="AQ91" s="155">
        <v>0</v>
      </c>
      <c r="AR91" s="155">
        <v>0</v>
      </c>
      <c r="AS91" s="36" t="s">
        <v>175</v>
      </c>
      <c r="AT91" s="36" t="s">
        <v>175</v>
      </c>
      <c r="AU91" s="36" t="s">
        <v>175</v>
      </c>
      <c r="AV91" s="36" t="s">
        <v>175</v>
      </c>
      <c r="AW91" s="36" t="s">
        <v>175</v>
      </c>
      <c r="AX91" s="36" t="s">
        <v>175</v>
      </c>
      <c r="AY91" s="36" t="s">
        <v>175</v>
      </c>
      <c r="AZ91" s="36" t="s">
        <v>175</v>
      </c>
      <c r="BA91" s="38">
        <f>AS9-O9</f>
        <v>0</v>
      </c>
      <c r="BD91" s="39"/>
    </row>
    <row r="92" spans="1:56" s="85" customFormat="1" ht="80.25" customHeight="1" x14ac:dyDescent="0.25">
      <c r="A92" s="182"/>
      <c r="B92" s="173"/>
      <c r="C92" s="176"/>
      <c r="D92" s="53" t="s">
        <v>105</v>
      </c>
      <c r="E92" s="53" t="s">
        <v>41</v>
      </c>
      <c r="F92" s="53">
        <v>1</v>
      </c>
      <c r="G92" s="89" t="s">
        <v>178</v>
      </c>
      <c r="H92" s="80">
        <v>3000</v>
      </c>
      <c r="I92" s="80">
        <v>3000</v>
      </c>
      <c r="J92" s="80" t="s">
        <v>36</v>
      </c>
      <c r="K92" s="81" t="s">
        <v>36</v>
      </c>
      <c r="L92" s="80">
        <v>3000</v>
      </c>
      <c r="M92" s="157"/>
      <c r="N92" s="157"/>
      <c r="O92" s="157"/>
      <c r="P92" s="154"/>
      <c r="Q92" s="154"/>
      <c r="R92" s="163"/>
      <c r="S92" s="163"/>
      <c r="T92" s="163"/>
      <c r="U92" s="163"/>
      <c r="V92" s="163"/>
      <c r="W92" s="163"/>
      <c r="X92" s="157"/>
      <c r="Y92" s="157"/>
      <c r="Z92" s="157"/>
      <c r="AA92" s="157"/>
      <c r="AB92" s="157"/>
      <c r="AC92" s="157"/>
      <c r="AD92" s="157"/>
      <c r="AE92" s="154"/>
      <c r="AF92" s="154"/>
      <c r="AG92" s="163"/>
      <c r="AH92" s="163"/>
      <c r="AI92" s="163"/>
      <c r="AJ92" s="163"/>
      <c r="AK92" s="163"/>
      <c r="AL92" s="163"/>
      <c r="AM92" s="157"/>
      <c r="AN92" s="157"/>
      <c r="AO92" s="157"/>
      <c r="AP92" s="157"/>
      <c r="AQ92" s="157"/>
      <c r="AR92" s="157"/>
      <c r="AS92" s="80"/>
      <c r="AT92" s="80"/>
      <c r="AU92" s="80"/>
      <c r="AV92" s="80"/>
      <c r="AW92" s="80"/>
      <c r="AX92" s="80"/>
      <c r="AY92" s="80"/>
      <c r="AZ92" s="80"/>
      <c r="BA92" s="38"/>
      <c r="BD92" s="39"/>
    </row>
    <row r="93" spans="1:56" s="39" customFormat="1" ht="80.25" customHeight="1" x14ac:dyDescent="0.25">
      <c r="A93" s="53">
        <v>19</v>
      </c>
      <c r="B93" s="90" t="s">
        <v>184</v>
      </c>
      <c r="C93" s="91">
        <v>35</v>
      </c>
      <c r="D93" s="53" t="s">
        <v>182</v>
      </c>
      <c r="E93" s="53" t="s">
        <v>37</v>
      </c>
      <c r="F93" s="53">
        <v>1</v>
      </c>
      <c r="G93" s="89" t="s">
        <v>183</v>
      </c>
      <c r="H93" s="80">
        <v>23169</v>
      </c>
      <c r="I93" s="80">
        <f t="shared" si="22"/>
        <v>23169</v>
      </c>
      <c r="J93" s="80" t="s">
        <v>92</v>
      </c>
      <c r="K93" s="81">
        <v>1.05</v>
      </c>
      <c r="L93" s="80">
        <f t="shared" ref="L93:L95" si="26">I93*K93</f>
        <v>24327.45</v>
      </c>
      <c r="M93" s="80">
        <f>L93</f>
        <v>24327.45</v>
      </c>
      <c r="N93" s="80">
        <f t="shared" si="24"/>
        <v>4865.4900000000007</v>
      </c>
      <c r="O93" s="80">
        <v>29192.940000000002</v>
      </c>
      <c r="P93" s="47">
        <v>34701.928964398088</v>
      </c>
      <c r="Q93" s="47">
        <v>38258.841981319922</v>
      </c>
      <c r="R93" s="92">
        <v>1.0680000000000001</v>
      </c>
      <c r="S93" s="92">
        <v>1.056</v>
      </c>
      <c r="T93" s="92">
        <v>1.054</v>
      </c>
      <c r="U93" s="92">
        <v>1.0509999999999999</v>
      </c>
      <c r="V93" s="92">
        <v>1.0489999999999999</v>
      </c>
      <c r="W93" s="92">
        <v>1.0469999999999999</v>
      </c>
      <c r="X93" s="80">
        <v>0</v>
      </c>
      <c r="Y93" s="80">
        <v>0</v>
      </c>
      <c r="Z93" s="80">
        <v>0</v>
      </c>
      <c r="AA93" s="80">
        <v>0</v>
      </c>
      <c r="AB93" s="80">
        <v>38258.841981319922</v>
      </c>
      <c r="AC93" s="80">
        <v>0</v>
      </c>
      <c r="AD93" s="80" t="s">
        <v>175</v>
      </c>
      <c r="AE93" s="47" t="s">
        <v>175</v>
      </c>
      <c r="AF93" s="47" t="s">
        <v>175</v>
      </c>
      <c r="AG93" s="80" t="s">
        <v>175</v>
      </c>
      <c r="AH93" s="80" t="s">
        <v>175</v>
      </c>
      <c r="AI93" s="80" t="s">
        <v>175</v>
      </c>
      <c r="AJ93" s="80" t="s">
        <v>175</v>
      </c>
      <c r="AK93" s="80" t="s">
        <v>175</v>
      </c>
      <c r="AL93" s="80" t="s">
        <v>175</v>
      </c>
      <c r="AM93" s="80" t="s">
        <v>175</v>
      </c>
      <c r="AN93" s="80" t="s">
        <v>175</v>
      </c>
      <c r="AO93" s="80" t="s">
        <v>175</v>
      </c>
      <c r="AP93" s="80" t="s">
        <v>175</v>
      </c>
      <c r="AQ93" s="80" t="s">
        <v>175</v>
      </c>
      <c r="AR93" s="80" t="s">
        <v>175</v>
      </c>
      <c r="AS93" s="80" t="s">
        <v>175</v>
      </c>
      <c r="AT93" s="80" t="s">
        <v>175</v>
      </c>
      <c r="AU93" s="80" t="s">
        <v>175</v>
      </c>
      <c r="AV93" s="80" t="s">
        <v>175</v>
      </c>
      <c r="AW93" s="80" t="s">
        <v>175</v>
      </c>
      <c r="AX93" s="80" t="s">
        <v>175</v>
      </c>
      <c r="AY93" s="80" t="s">
        <v>175</v>
      </c>
      <c r="AZ93" s="80" t="s">
        <v>175</v>
      </c>
      <c r="BA93" s="38">
        <f>AS9-O9</f>
        <v>0</v>
      </c>
    </row>
    <row r="94" spans="1:56" s="39" customFormat="1" ht="80.25" customHeight="1" x14ac:dyDescent="0.25">
      <c r="A94" s="53">
        <v>20</v>
      </c>
      <c r="B94" s="93" t="s">
        <v>185</v>
      </c>
      <c r="C94" s="94">
        <v>35</v>
      </c>
      <c r="D94" s="35" t="s">
        <v>186</v>
      </c>
      <c r="E94" s="35" t="s">
        <v>37</v>
      </c>
      <c r="F94" s="35">
        <v>1</v>
      </c>
      <c r="G94" s="57" t="s">
        <v>187</v>
      </c>
      <c r="H94" s="36">
        <v>20978</v>
      </c>
      <c r="I94" s="36">
        <f t="shared" si="22"/>
        <v>20978</v>
      </c>
      <c r="J94" s="36" t="s">
        <v>92</v>
      </c>
      <c r="K94" s="37">
        <v>1.05</v>
      </c>
      <c r="L94" s="36">
        <f t="shared" si="26"/>
        <v>22026.9</v>
      </c>
      <c r="M94" s="80">
        <f>L94</f>
        <v>22026.9</v>
      </c>
      <c r="N94" s="80">
        <f t="shared" si="24"/>
        <v>4405.38</v>
      </c>
      <c r="O94" s="80">
        <v>26432.280000000002</v>
      </c>
      <c r="P94" s="47">
        <f>O94*R94*S94*T94</f>
        <v>31420.305831720969</v>
      </c>
      <c r="Q94" s="47">
        <f>P94*U94*V94</f>
        <v>34640.855759166538</v>
      </c>
      <c r="R94" s="92">
        <v>1.0680000000000001</v>
      </c>
      <c r="S94" s="92">
        <v>1.056</v>
      </c>
      <c r="T94" s="92">
        <v>1.054</v>
      </c>
      <c r="U94" s="92">
        <v>1.0509999999999999</v>
      </c>
      <c r="V94" s="92">
        <v>1.0489999999999999</v>
      </c>
      <c r="W94" s="92">
        <v>1.0469999999999999</v>
      </c>
      <c r="X94" s="80">
        <v>0</v>
      </c>
      <c r="Y94" s="80">
        <v>0</v>
      </c>
      <c r="Z94" s="80">
        <v>0</v>
      </c>
      <c r="AA94" s="80">
        <v>0</v>
      </c>
      <c r="AB94" s="80">
        <v>34640.855759166538</v>
      </c>
      <c r="AC94" s="80">
        <v>0</v>
      </c>
      <c r="AD94" s="80" t="s">
        <v>175</v>
      </c>
      <c r="AE94" s="47" t="s">
        <v>175</v>
      </c>
      <c r="AF94" s="47" t="s">
        <v>175</v>
      </c>
      <c r="AG94" s="80" t="s">
        <v>175</v>
      </c>
      <c r="AH94" s="80" t="s">
        <v>175</v>
      </c>
      <c r="AI94" s="80" t="s">
        <v>175</v>
      </c>
      <c r="AJ94" s="80" t="s">
        <v>175</v>
      </c>
      <c r="AK94" s="80" t="s">
        <v>175</v>
      </c>
      <c r="AL94" s="80" t="s">
        <v>175</v>
      </c>
      <c r="AM94" s="80" t="s">
        <v>175</v>
      </c>
      <c r="AN94" s="80" t="s">
        <v>175</v>
      </c>
      <c r="AO94" s="80" t="s">
        <v>175</v>
      </c>
      <c r="AP94" s="80" t="s">
        <v>175</v>
      </c>
      <c r="AQ94" s="80" t="s">
        <v>175</v>
      </c>
      <c r="AR94" s="80" t="s">
        <v>175</v>
      </c>
      <c r="AS94" s="36" t="s">
        <v>175</v>
      </c>
      <c r="AT94" s="36" t="s">
        <v>175</v>
      </c>
      <c r="AU94" s="36" t="s">
        <v>175</v>
      </c>
      <c r="AV94" s="36" t="s">
        <v>175</v>
      </c>
      <c r="AW94" s="36" t="s">
        <v>175</v>
      </c>
      <c r="AX94" s="36" t="s">
        <v>175</v>
      </c>
      <c r="AY94" s="36" t="s">
        <v>175</v>
      </c>
      <c r="AZ94" s="36" t="s">
        <v>175</v>
      </c>
      <c r="BA94" s="38">
        <f>AS9-O9</f>
        <v>0</v>
      </c>
    </row>
    <row r="95" spans="1:56" s="39" customFormat="1" ht="80.25" customHeight="1" x14ac:dyDescent="0.25">
      <c r="A95" s="53">
        <v>21</v>
      </c>
      <c r="B95" s="93" t="s">
        <v>188</v>
      </c>
      <c r="C95" s="94">
        <v>35</v>
      </c>
      <c r="D95" s="35" t="s">
        <v>186</v>
      </c>
      <c r="E95" s="35" t="s">
        <v>37</v>
      </c>
      <c r="F95" s="35">
        <v>1</v>
      </c>
      <c r="G95" s="57" t="s">
        <v>187</v>
      </c>
      <c r="H95" s="36">
        <v>20978</v>
      </c>
      <c r="I95" s="36">
        <f t="shared" si="22"/>
        <v>20978</v>
      </c>
      <c r="J95" s="36" t="s">
        <v>92</v>
      </c>
      <c r="K95" s="37">
        <v>1.05</v>
      </c>
      <c r="L95" s="36">
        <f t="shared" si="26"/>
        <v>22026.9</v>
      </c>
      <c r="M95" s="80">
        <f>L95</f>
        <v>22026.9</v>
      </c>
      <c r="N95" s="80">
        <f t="shared" si="24"/>
        <v>4405.38</v>
      </c>
      <c r="O95" s="80">
        <v>26432.280000000002</v>
      </c>
      <c r="P95" s="47">
        <v>31420.305831720969</v>
      </c>
      <c r="Q95" s="47">
        <v>34640.855759166538</v>
      </c>
      <c r="R95" s="92">
        <v>1.0680000000000001</v>
      </c>
      <c r="S95" s="92">
        <v>1.056</v>
      </c>
      <c r="T95" s="92">
        <v>1.054</v>
      </c>
      <c r="U95" s="92">
        <v>1.0509999999999999</v>
      </c>
      <c r="V95" s="92">
        <v>1.0489999999999999</v>
      </c>
      <c r="W95" s="92">
        <v>1.0469999999999999</v>
      </c>
      <c r="X95" s="80">
        <v>0</v>
      </c>
      <c r="Y95" s="80">
        <v>0</v>
      </c>
      <c r="Z95" s="80">
        <v>0</v>
      </c>
      <c r="AA95" s="80">
        <v>0</v>
      </c>
      <c r="AB95" s="80">
        <v>34640.855759166538</v>
      </c>
      <c r="AC95" s="80">
        <v>0</v>
      </c>
      <c r="AD95" s="80" t="s">
        <v>175</v>
      </c>
      <c r="AE95" s="47" t="s">
        <v>175</v>
      </c>
      <c r="AF95" s="47" t="s">
        <v>175</v>
      </c>
      <c r="AG95" s="80" t="s">
        <v>175</v>
      </c>
      <c r="AH95" s="80" t="s">
        <v>175</v>
      </c>
      <c r="AI95" s="80" t="s">
        <v>175</v>
      </c>
      <c r="AJ95" s="80" t="s">
        <v>175</v>
      </c>
      <c r="AK95" s="80" t="s">
        <v>175</v>
      </c>
      <c r="AL95" s="80" t="s">
        <v>175</v>
      </c>
      <c r="AM95" s="80" t="s">
        <v>175</v>
      </c>
      <c r="AN95" s="80" t="s">
        <v>175</v>
      </c>
      <c r="AO95" s="80" t="s">
        <v>175</v>
      </c>
      <c r="AP95" s="80" t="s">
        <v>175</v>
      </c>
      <c r="AQ95" s="80" t="s">
        <v>175</v>
      </c>
      <c r="AR95" s="80" t="s">
        <v>175</v>
      </c>
      <c r="AS95" s="36" t="s">
        <v>175</v>
      </c>
      <c r="AT95" s="36" t="s">
        <v>175</v>
      </c>
      <c r="AU95" s="36" t="s">
        <v>175</v>
      </c>
      <c r="AV95" s="36" t="s">
        <v>175</v>
      </c>
      <c r="AW95" s="36" t="s">
        <v>175</v>
      </c>
      <c r="AX95" s="36" t="s">
        <v>175</v>
      </c>
      <c r="AY95" s="36" t="s">
        <v>175</v>
      </c>
      <c r="AZ95" s="36" t="s">
        <v>175</v>
      </c>
      <c r="BA95" s="38">
        <f>AS9-O9</f>
        <v>0</v>
      </c>
    </row>
    <row r="96" spans="1:56" s="39" customFormat="1" ht="75" customHeight="1" x14ac:dyDescent="0.25">
      <c r="A96" s="180">
        <v>22</v>
      </c>
      <c r="B96" s="171" t="s">
        <v>189</v>
      </c>
      <c r="C96" s="174">
        <v>35</v>
      </c>
      <c r="D96" s="35" t="s">
        <v>190</v>
      </c>
      <c r="E96" s="35" t="s">
        <v>33</v>
      </c>
      <c r="F96" s="35">
        <v>5</v>
      </c>
      <c r="G96" s="57" t="s">
        <v>191</v>
      </c>
      <c r="H96" s="36">
        <v>9040</v>
      </c>
      <c r="I96" s="36">
        <f t="shared" si="22"/>
        <v>45200</v>
      </c>
      <c r="J96" s="36" t="s">
        <v>59</v>
      </c>
      <c r="K96" s="37">
        <v>1.03</v>
      </c>
      <c r="L96" s="36">
        <f>I96*K96</f>
        <v>46556</v>
      </c>
      <c r="M96" s="155">
        <f>L96+L97+L98</f>
        <v>55591.839999999997</v>
      </c>
      <c r="N96" s="155">
        <f t="shared" si="24"/>
        <v>11118.368</v>
      </c>
      <c r="O96" s="155">
        <v>66710.207999999999</v>
      </c>
      <c r="P96" s="153">
        <v>79299.066802323461</v>
      </c>
      <c r="Q96" s="153">
        <v>87427.141850494794</v>
      </c>
      <c r="R96" s="161">
        <v>1.0680000000000001</v>
      </c>
      <c r="S96" s="161">
        <v>1.056</v>
      </c>
      <c r="T96" s="161">
        <v>1.054</v>
      </c>
      <c r="U96" s="161">
        <v>1.0509999999999999</v>
      </c>
      <c r="V96" s="161">
        <v>1.0489999999999999</v>
      </c>
      <c r="W96" s="161">
        <v>1.0469999999999999</v>
      </c>
      <c r="X96" s="155">
        <v>0</v>
      </c>
      <c r="Y96" s="155">
        <v>0</v>
      </c>
      <c r="Z96" s="155">
        <v>0</v>
      </c>
      <c r="AA96" s="155">
        <v>0</v>
      </c>
      <c r="AB96" s="155">
        <v>87427.141850494794</v>
      </c>
      <c r="AC96" s="155">
        <v>0</v>
      </c>
      <c r="AD96" s="155" t="s">
        <v>175</v>
      </c>
      <c r="AE96" s="153" t="s">
        <v>175</v>
      </c>
      <c r="AF96" s="153" t="s">
        <v>175</v>
      </c>
      <c r="AG96" s="155" t="s">
        <v>175</v>
      </c>
      <c r="AH96" s="155" t="s">
        <v>175</v>
      </c>
      <c r="AI96" s="155" t="s">
        <v>175</v>
      </c>
      <c r="AJ96" s="155" t="s">
        <v>175</v>
      </c>
      <c r="AK96" s="155" t="s">
        <v>175</v>
      </c>
      <c r="AL96" s="155" t="s">
        <v>175</v>
      </c>
      <c r="AM96" s="155" t="s">
        <v>175</v>
      </c>
      <c r="AN96" s="155" t="s">
        <v>175</v>
      </c>
      <c r="AO96" s="155" t="s">
        <v>175</v>
      </c>
      <c r="AP96" s="155" t="s">
        <v>175</v>
      </c>
      <c r="AQ96" s="155" t="s">
        <v>175</v>
      </c>
      <c r="AR96" s="155" t="s">
        <v>175</v>
      </c>
      <c r="AS96" s="36" t="s">
        <v>175</v>
      </c>
      <c r="AT96" s="36" t="s">
        <v>175</v>
      </c>
      <c r="AU96" s="36" t="s">
        <v>175</v>
      </c>
      <c r="AV96" s="36" t="s">
        <v>175</v>
      </c>
      <c r="AW96" s="36" t="s">
        <v>175</v>
      </c>
      <c r="AX96" s="36" t="s">
        <v>175</v>
      </c>
      <c r="AY96" s="36" t="s">
        <v>175</v>
      </c>
      <c r="AZ96" s="36" t="s">
        <v>175</v>
      </c>
      <c r="BA96" s="38">
        <f>AS9-O9</f>
        <v>0</v>
      </c>
    </row>
    <row r="97" spans="1:53" s="39" customFormat="1" ht="75" customHeight="1" x14ac:dyDescent="0.25">
      <c r="A97" s="181"/>
      <c r="B97" s="172"/>
      <c r="C97" s="175"/>
      <c r="D97" s="35" t="s">
        <v>192</v>
      </c>
      <c r="E97" s="35" t="s">
        <v>33</v>
      </c>
      <c r="F97" s="35">
        <v>1</v>
      </c>
      <c r="G97" s="57" t="s">
        <v>193</v>
      </c>
      <c r="H97" s="36">
        <v>1996</v>
      </c>
      <c r="I97" s="36">
        <f t="shared" si="22"/>
        <v>1996</v>
      </c>
      <c r="J97" s="36" t="s">
        <v>100</v>
      </c>
      <c r="K97" s="37">
        <v>1.04</v>
      </c>
      <c r="L97" s="36">
        <f t="shared" ref="L97" si="27">I97*K97</f>
        <v>2075.84</v>
      </c>
      <c r="M97" s="156"/>
      <c r="N97" s="156"/>
      <c r="O97" s="156"/>
      <c r="P97" s="158"/>
      <c r="Q97" s="158"/>
      <c r="R97" s="162"/>
      <c r="S97" s="162"/>
      <c r="T97" s="162"/>
      <c r="U97" s="162"/>
      <c r="V97" s="162"/>
      <c r="W97" s="162"/>
      <c r="X97" s="156"/>
      <c r="Y97" s="156"/>
      <c r="Z97" s="156"/>
      <c r="AA97" s="156"/>
      <c r="AB97" s="156"/>
      <c r="AC97" s="156"/>
      <c r="AD97" s="156"/>
      <c r="AE97" s="158"/>
      <c r="AF97" s="158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36" t="s">
        <v>175</v>
      </c>
      <c r="AT97" s="36" t="s">
        <v>175</v>
      </c>
      <c r="AU97" s="36" t="s">
        <v>175</v>
      </c>
      <c r="AV97" s="36" t="s">
        <v>175</v>
      </c>
      <c r="AW97" s="36" t="s">
        <v>175</v>
      </c>
      <c r="AX97" s="36" t="s">
        <v>175</v>
      </c>
      <c r="AY97" s="36" t="s">
        <v>175</v>
      </c>
      <c r="AZ97" s="36" t="s">
        <v>175</v>
      </c>
      <c r="BA97" s="38">
        <f>AS9-O9</f>
        <v>0</v>
      </c>
    </row>
    <row r="98" spans="1:53" s="39" customFormat="1" ht="75" customHeight="1" x14ac:dyDescent="0.25">
      <c r="A98" s="182"/>
      <c r="B98" s="173"/>
      <c r="C98" s="176"/>
      <c r="D98" s="35" t="s">
        <v>168</v>
      </c>
      <c r="E98" s="35" t="s">
        <v>33</v>
      </c>
      <c r="F98" s="35">
        <v>5</v>
      </c>
      <c r="G98" s="57" t="s">
        <v>74</v>
      </c>
      <c r="H98" s="36">
        <v>1392</v>
      </c>
      <c r="I98" s="36">
        <f t="shared" si="22"/>
        <v>6960</v>
      </c>
      <c r="J98" s="36" t="s">
        <v>36</v>
      </c>
      <c r="K98" s="37" t="s">
        <v>36</v>
      </c>
      <c r="L98" s="36">
        <f>I98</f>
        <v>6960</v>
      </c>
      <c r="M98" s="157"/>
      <c r="N98" s="157"/>
      <c r="O98" s="157"/>
      <c r="P98" s="154"/>
      <c r="Q98" s="154"/>
      <c r="R98" s="163"/>
      <c r="S98" s="163"/>
      <c r="T98" s="163"/>
      <c r="U98" s="163"/>
      <c r="V98" s="163"/>
      <c r="W98" s="163"/>
      <c r="X98" s="157"/>
      <c r="Y98" s="157"/>
      <c r="Z98" s="157"/>
      <c r="AA98" s="157"/>
      <c r="AB98" s="157"/>
      <c r="AC98" s="157"/>
      <c r="AD98" s="157"/>
      <c r="AE98" s="154"/>
      <c r="AF98" s="154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36" t="s">
        <v>175</v>
      </c>
      <c r="AT98" s="36" t="s">
        <v>175</v>
      </c>
      <c r="AU98" s="36" t="s">
        <v>175</v>
      </c>
      <c r="AV98" s="36" t="s">
        <v>175</v>
      </c>
      <c r="AW98" s="36" t="s">
        <v>175</v>
      </c>
      <c r="AX98" s="36" t="s">
        <v>175</v>
      </c>
      <c r="AY98" s="36" t="s">
        <v>175</v>
      </c>
      <c r="AZ98" s="36" t="s">
        <v>175</v>
      </c>
      <c r="BA98" s="38">
        <f>AS9-O9</f>
        <v>0</v>
      </c>
    </row>
    <row r="99" spans="1:53" s="39" customFormat="1" x14ac:dyDescent="0.25">
      <c r="A99" s="180">
        <v>23</v>
      </c>
      <c r="B99" s="210" t="s">
        <v>194</v>
      </c>
      <c r="C99" s="206">
        <v>6</v>
      </c>
      <c r="D99" s="35" t="s">
        <v>38</v>
      </c>
      <c r="E99" s="35" t="s">
        <v>37</v>
      </c>
      <c r="F99" s="35">
        <v>2</v>
      </c>
      <c r="G99" s="57" t="s">
        <v>39</v>
      </c>
      <c r="H99" s="36">
        <v>1663</v>
      </c>
      <c r="I99" s="36">
        <f t="shared" si="22"/>
        <v>3326</v>
      </c>
      <c r="J99" s="36" t="s">
        <v>54</v>
      </c>
      <c r="K99" s="37">
        <v>1.1000000000000001</v>
      </c>
      <c r="L99" s="36">
        <f>I99*K99</f>
        <v>3658.6000000000004</v>
      </c>
      <c r="M99" s="155">
        <f>SUM(L99:L104)</f>
        <v>5386.3726500000002</v>
      </c>
      <c r="N99" s="155">
        <f>M99*0.2</f>
        <v>1077.2745300000001</v>
      </c>
      <c r="O99" s="155">
        <f>M99+N99</f>
        <v>6463.6471799999999</v>
      </c>
      <c r="P99" s="153">
        <f>O99*R99*S99*T99</f>
        <v>7683.3996607156387</v>
      </c>
      <c r="Q99" s="153">
        <f>SUM(X99:AC104)</f>
        <v>8470.9404425393295</v>
      </c>
      <c r="R99" s="161">
        <v>1.0680000000000001</v>
      </c>
      <c r="S99" s="161">
        <v>1.056</v>
      </c>
      <c r="T99" s="161">
        <v>1.054</v>
      </c>
      <c r="U99" s="161">
        <v>1.0509999999999999</v>
      </c>
      <c r="V99" s="161">
        <v>1.0489999999999999</v>
      </c>
      <c r="W99" s="161">
        <v>1.0469999999999999</v>
      </c>
      <c r="X99" s="155">
        <v>0</v>
      </c>
      <c r="Y99" s="155">
        <v>0</v>
      </c>
      <c r="Z99" s="155">
        <v>0</v>
      </c>
      <c r="AA99" s="155">
        <v>0</v>
      </c>
      <c r="AB99" s="155">
        <f>O99*R99*S99*T99*U99*V99</f>
        <v>8470.9404425393295</v>
      </c>
      <c r="AC99" s="155">
        <v>0</v>
      </c>
      <c r="AD99" s="155">
        <f>O99</f>
        <v>6463.6471799999999</v>
      </c>
      <c r="AE99" s="153">
        <f>AD99*AG99*AH99*AI99*AJ99</f>
        <v>8709.8770702270504</v>
      </c>
      <c r="AF99" s="153">
        <f>AM99+AN99+AO99+AP99+AQ99+AR99</f>
        <v>9223.7598173704464</v>
      </c>
      <c r="AG99" s="161">
        <v>1.0680000000000001</v>
      </c>
      <c r="AH99" s="161">
        <v>1.056</v>
      </c>
      <c r="AI99" s="161">
        <v>1.0489999999999999</v>
      </c>
      <c r="AJ99" s="161">
        <v>1.139</v>
      </c>
      <c r="AK99" s="161">
        <v>1.0589999999999999</v>
      </c>
      <c r="AL99" s="161">
        <v>1.0529999999999999</v>
      </c>
      <c r="AM99" s="155">
        <v>0</v>
      </c>
      <c r="AN99" s="155">
        <v>0</v>
      </c>
      <c r="AO99" s="155">
        <v>0</v>
      </c>
      <c r="AP99" s="155">
        <v>0</v>
      </c>
      <c r="AQ99" s="155">
        <f>AD99*AG99*AH99*AI99*AJ99*AK99</f>
        <v>9223.7598173704464</v>
      </c>
      <c r="AR99" s="155">
        <v>0</v>
      </c>
      <c r="AS99" s="36" t="s">
        <v>175</v>
      </c>
      <c r="AT99" s="36" t="s">
        <v>175</v>
      </c>
      <c r="AU99" s="36" t="s">
        <v>175</v>
      </c>
      <c r="AV99" s="36" t="s">
        <v>175</v>
      </c>
      <c r="AW99" s="36" t="s">
        <v>175</v>
      </c>
      <c r="AX99" s="36" t="s">
        <v>175</v>
      </c>
      <c r="AY99" s="36" t="s">
        <v>175</v>
      </c>
      <c r="AZ99" s="36" t="s">
        <v>175</v>
      </c>
      <c r="BA99" s="38">
        <f>AS9-O9</f>
        <v>0</v>
      </c>
    </row>
    <row r="100" spans="1:53" s="39" customFormat="1" ht="90" x14ac:dyDescent="0.25">
      <c r="A100" s="181"/>
      <c r="B100" s="210"/>
      <c r="C100" s="206"/>
      <c r="D100" s="35" t="s">
        <v>42</v>
      </c>
      <c r="E100" s="35" t="s">
        <v>34</v>
      </c>
      <c r="F100" s="35">
        <v>1.0609999999999999</v>
      </c>
      <c r="G100" s="40" t="s">
        <v>43</v>
      </c>
      <c r="H100" s="36">
        <v>699</v>
      </c>
      <c r="I100" s="36">
        <f t="shared" si="22"/>
        <v>741.63900000000001</v>
      </c>
      <c r="J100" s="36" t="s">
        <v>55</v>
      </c>
      <c r="K100" s="37">
        <v>1.05</v>
      </c>
      <c r="L100" s="36">
        <f>I100*K100</f>
        <v>778.72095000000002</v>
      </c>
      <c r="M100" s="156"/>
      <c r="N100" s="156"/>
      <c r="O100" s="156"/>
      <c r="P100" s="158"/>
      <c r="Q100" s="158"/>
      <c r="R100" s="162"/>
      <c r="S100" s="162"/>
      <c r="T100" s="162"/>
      <c r="U100" s="162"/>
      <c r="V100" s="162"/>
      <c r="W100" s="162"/>
      <c r="X100" s="156"/>
      <c r="Y100" s="156"/>
      <c r="Z100" s="156"/>
      <c r="AA100" s="156"/>
      <c r="AB100" s="156"/>
      <c r="AC100" s="156"/>
      <c r="AD100" s="156"/>
      <c r="AE100" s="158"/>
      <c r="AF100" s="158"/>
      <c r="AG100" s="162"/>
      <c r="AH100" s="162"/>
      <c r="AI100" s="162"/>
      <c r="AJ100" s="162"/>
      <c r="AK100" s="162"/>
      <c r="AL100" s="162"/>
      <c r="AM100" s="156"/>
      <c r="AN100" s="156"/>
      <c r="AO100" s="156"/>
      <c r="AP100" s="156"/>
      <c r="AQ100" s="156"/>
      <c r="AR100" s="156"/>
      <c r="AS100" s="36" t="s">
        <v>175</v>
      </c>
      <c r="AT100" s="36" t="s">
        <v>175</v>
      </c>
      <c r="AU100" s="36" t="s">
        <v>175</v>
      </c>
      <c r="AV100" s="36" t="s">
        <v>175</v>
      </c>
      <c r="AW100" s="36" t="s">
        <v>175</v>
      </c>
      <c r="AX100" s="36" t="s">
        <v>175</v>
      </c>
      <c r="AY100" s="36" t="s">
        <v>175</v>
      </c>
      <c r="AZ100" s="36" t="s">
        <v>175</v>
      </c>
      <c r="BA100" s="38">
        <f>AS9-O9</f>
        <v>0</v>
      </c>
    </row>
    <row r="101" spans="1:53" s="39" customFormat="1" ht="60" x14ac:dyDescent="0.25">
      <c r="A101" s="181"/>
      <c r="B101" s="210"/>
      <c r="C101" s="206"/>
      <c r="D101" s="35" t="s">
        <v>44</v>
      </c>
      <c r="E101" s="35" t="s">
        <v>45</v>
      </c>
      <c r="F101" s="35">
        <v>6.25</v>
      </c>
      <c r="G101" s="40" t="s">
        <v>46</v>
      </c>
      <c r="H101" s="36">
        <v>17</v>
      </c>
      <c r="I101" s="36">
        <f t="shared" si="22"/>
        <v>106.25</v>
      </c>
      <c r="J101" s="36" t="s">
        <v>55</v>
      </c>
      <c r="K101" s="37">
        <v>1.05</v>
      </c>
      <c r="L101" s="36">
        <f>I101*K101</f>
        <v>111.5625</v>
      </c>
      <c r="M101" s="156"/>
      <c r="N101" s="156"/>
      <c r="O101" s="156"/>
      <c r="P101" s="158"/>
      <c r="Q101" s="158"/>
      <c r="R101" s="162"/>
      <c r="S101" s="162"/>
      <c r="T101" s="162"/>
      <c r="U101" s="162"/>
      <c r="V101" s="162"/>
      <c r="W101" s="162"/>
      <c r="X101" s="156"/>
      <c r="Y101" s="156"/>
      <c r="Z101" s="156"/>
      <c r="AA101" s="156"/>
      <c r="AB101" s="156"/>
      <c r="AC101" s="156"/>
      <c r="AD101" s="156"/>
      <c r="AE101" s="158"/>
      <c r="AF101" s="158"/>
      <c r="AG101" s="162"/>
      <c r="AH101" s="162"/>
      <c r="AI101" s="162"/>
      <c r="AJ101" s="162"/>
      <c r="AK101" s="162"/>
      <c r="AL101" s="162"/>
      <c r="AM101" s="156"/>
      <c r="AN101" s="156"/>
      <c r="AO101" s="156"/>
      <c r="AP101" s="156"/>
      <c r="AQ101" s="156"/>
      <c r="AR101" s="156"/>
      <c r="AS101" s="36" t="s">
        <v>175</v>
      </c>
      <c r="AT101" s="36" t="s">
        <v>175</v>
      </c>
      <c r="AU101" s="36" t="s">
        <v>175</v>
      </c>
      <c r="AV101" s="36" t="s">
        <v>175</v>
      </c>
      <c r="AW101" s="36" t="s">
        <v>175</v>
      </c>
      <c r="AX101" s="36" t="s">
        <v>175</v>
      </c>
      <c r="AY101" s="36" t="s">
        <v>175</v>
      </c>
      <c r="AZ101" s="36" t="s">
        <v>175</v>
      </c>
      <c r="BA101" s="38">
        <f>AS9-O9</f>
        <v>0</v>
      </c>
    </row>
    <row r="102" spans="1:53" s="39" customFormat="1" ht="75" x14ac:dyDescent="0.25">
      <c r="A102" s="181"/>
      <c r="B102" s="210"/>
      <c r="C102" s="206"/>
      <c r="D102" s="35" t="s">
        <v>57</v>
      </c>
      <c r="E102" s="35" t="s">
        <v>34</v>
      </c>
      <c r="F102" s="35">
        <v>1.0609999999999999</v>
      </c>
      <c r="G102" s="40" t="s">
        <v>50</v>
      </c>
      <c r="H102" s="36">
        <v>464</v>
      </c>
      <c r="I102" s="36">
        <f t="shared" si="22"/>
        <v>492.30399999999997</v>
      </c>
      <c r="J102" s="36" t="s">
        <v>55</v>
      </c>
      <c r="K102" s="37">
        <v>1.05</v>
      </c>
      <c r="L102" s="36">
        <f>I102*K102</f>
        <v>516.91920000000005</v>
      </c>
      <c r="M102" s="156"/>
      <c r="N102" s="156"/>
      <c r="O102" s="156"/>
      <c r="P102" s="158"/>
      <c r="Q102" s="158"/>
      <c r="R102" s="162"/>
      <c r="S102" s="162"/>
      <c r="T102" s="162"/>
      <c r="U102" s="162"/>
      <c r="V102" s="162"/>
      <c r="W102" s="162"/>
      <c r="X102" s="156"/>
      <c r="Y102" s="156"/>
      <c r="Z102" s="156"/>
      <c r="AA102" s="156"/>
      <c r="AB102" s="156"/>
      <c r="AC102" s="156"/>
      <c r="AD102" s="156"/>
      <c r="AE102" s="158"/>
      <c r="AF102" s="158"/>
      <c r="AG102" s="162"/>
      <c r="AH102" s="162"/>
      <c r="AI102" s="162"/>
      <c r="AJ102" s="162"/>
      <c r="AK102" s="162"/>
      <c r="AL102" s="162"/>
      <c r="AM102" s="156"/>
      <c r="AN102" s="156"/>
      <c r="AO102" s="156"/>
      <c r="AP102" s="156"/>
      <c r="AQ102" s="156"/>
      <c r="AR102" s="156"/>
      <c r="AS102" s="36" t="s">
        <v>175</v>
      </c>
      <c r="AT102" s="36" t="s">
        <v>175</v>
      </c>
      <c r="AU102" s="36" t="s">
        <v>175</v>
      </c>
      <c r="AV102" s="36" t="s">
        <v>175</v>
      </c>
      <c r="AW102" s="36" t="s">
        <v>175</v>
      </c>
      <c r="AX102" s="36" t="s">
        <v>175</v>
      </c>
      <c r="AY102" s="36" t="s">
        <v>175</v>
      </c>
      <c r="AZ102" s="36" t="s">
        <v>175</v>
      </c>
      <c r="BA102" s="38">
        <f>AS9-O9</f>
        <v>0</v>
      </c>
    </row>
    <row r="103" spans="1:53" s="39" customFormat="1" ht="75" x14ac:dyDescent="0.25">
      <c r="A103" s="181"/>
      <c r="B103" s="210"/>
      <c r="C103" s="206"/>
      <c r="D103" s="35" t="s">
        <v>48</v>
      </c>
      <c r="E103" s="35" t="s">
        <v>49</v>
      </c>
      <c r="F103" s="35">
        <v>0.11</v>
      </c>
      <c r="G103" s="40" t="s">
        <v>51</v>
      </c>
      <c r="H103" s="36">
        <v>187</v>
      </c>
      <c r="I103" s="36">
        <f t="shared" si="22"/>
        <v>20.57</v>
      </c>
      <c r="J103" s="36" t="s">
        <v>36</v>
      </c>
      <c r="K103" s="37" t="s">
        <v>36</v>
      </c>
      <c r="L103" s="36">
        <f>I103</f>
        <v>20.57</v>
      </c>
      <c r="M103" s="156"/>
      <c r="N103" s="156"/>
      <c r="O103" s="156"/>
      <c r="P103" s="158"/>
      <c r="Q103" s="158"/>
      <c r="R103" s="162"/>
      <c r="S103" s="162"/>
      <c r="T103" s="162"/>
      <c r="U103" s="162"/>
      <c r="V103" s="162"/>
      <c r="W103" s="162"/>
      <c r="X103" s="156"/>
      <c r="Y103" s="156"/>
      <c r="Z103" s="156"/>
      <c r="AA103" s="156"/>
      <c r="AB103" s="156"/>
      <c r="AC103" s="156"/>
      <c r="AD103" s="156"/>
      <c r="AE103" s="158"/>
      <c r="AF103" s="158"/>
      <c r="AG103" s="162"/>
      <c r="AH103" s="162"/>
      <c r="AI103" s="162"/>
      <c r="AJ103" s="162"/>
      <c r="AK103" s="162"/>
      <c r="AL103" s="162"/>
      <c r="AM103" s="156"/>
      <c r="AN103" s="156"/>
      <c r="AO103" s="156"/>
      <c r="AP103" s="156"/>
      <c r="AQ103" s="156"/>
      <c r="AR103" s="156"/>
      <c r="AS103" s="36" t="s">
        <v>175</v>
      </c>
      <c r="AT103" s="36" t="s">
        <v>175</v>
      </c>
      <c r="AU103" s="36" t="s">
        <v>175</v>
      </c>
      <c r="AV103" s="36" t="s">
        <v>175</v>
      </c>
      <c r="AW103" s="36" t="s">
        <v>175</v>
      </c>
      <c r="AX103" s="36" t="s">
        <v>175</v>
      </c>
      <c r="AY103" s="36" t="s">
        <v>175</v>
      </c>
      <c r="AZ103" s="36" t="s">
        <v>175</v>
      </c>
      <c r="BA103" s="38">
        <f>AS9-O9</f>
        <v>0</v>
      </c>
    </row>
    <row r="104" spans="1:53" s="39" customFormat="1" ht="30" x14ac:dyDescent="0.25">
      <c r="A104" s="182"/>
      <c r="B104" s="210"/>
      <c r="C104" s="206"/>
      <c r="D104" s="35" t="s">
        <v>40</v>
      </c>
      <c r="E104" s="35" t="s">
        <v>41</v>
      </c>
      <c r="F104" s="35">
        <v>1</v>
      </c>
      <c r="G104" s="40" t="s">
        <v>195</v>
      </c>
      <c r="H104" s="36">
        <v>300</v>
      </c>
      <c r="I104" s="36">
        <f t="shared" si="22"/>
        <v>300</v>
      </c>
      <c r="J104" s="36" t="s">
        <v>36</v>
      </c>
      <c r="K104" s="36" t="s">
        <v>36</v>
      </c>
      <c r="L104" s="36">
        <f>I104</f>
        <v>300</v>
      </c>
      <c r="M104" s="157"/>
      <c r="N104" s="157"/>
      <c r="O104" s="157"/>
      <c r="P104" s="154"/>
      <c r="Q104" s="154"/>
      <c r="R104" s="163"/>
      <c r="S104" s="163"/>
      <c r="T104" s="163"/>
      <c r="U104" s="163"/>
      <c r="V104" s="163"/>
      <c r="W104" s="163"/>
      <c r="X104" s="156"/>
      <c r="Y104" s="156"/>
      <c r="Z104" s="156"/>
      <c r="AA104" s="157"/>
      <c r="AB104" s="157"/>
      <c r="AC104" s="157"/>
      <c r="AD104" s="157"/>
      <c r="AE104" s="154"/>
      <c r="AF104" s="154"/>
      <c r="AG104" s="163"/>
      <c r="AH104" s="163"/>
      <c r="AI104" s="163"/>
      <c r="AJ104" s="163"/>
      <c r="AK104" s="163"/>
      <c r="AL104" s="163"/>
      <c r="AM104" s="157"/>
      <c r="AN104" s="157"/>
      <c r="AO104" s="157"/>
      <c r="AP104" s="157"/>
      <c r="AQ104" s="157"/>
      <c r="AR104" s="157"/>
      <c r="AS104" s="36" t="s">
        <v>175</v>
      </c>
      <c r="AT104" s="36" t="s">
        <v>175</v>
      </c>
      <c r="AU104" s="36" t="s">
        <v>175</v>
      </c>
      <c r="AV104" s="36" t="s">
        <v>175</v>
      </c>
      <c r="AW104" s="36" t="s">
        <v>175</v>
      </c>
      <c r="AX104" s="36" t="s">
        <v>175</v>
      </c>
      <c r="AY104" s="36" t="s">
        <v>175</v>
      </c>
      <c r="AZ104" s="36" t="s">
        <v>175</v>
      </c>
      <c r="BA104" s="38">
        <f>AS9-O9</f>
        <v>0</v>
      </c>
    </row>
    <row r="105" spans="1:53" s="39" customFormat="1" x14ac:dyDescent="0.25">
      <c r="A105" s="180">
        <v>24</v>
      </c>
      <c r="B105" s="210" t="s">
        <v>221</v>
      </c>
      <c r="C105" s="206">
        <v>6</v>
      </c>
      <c r="D105" s="35" t="s">
        <v>38</v>
      </c>
      <c r="E105" s="35" t="s">
        <v>37</v>
      </c>
      <c r="F105" s="35">
        <v>1</v>
      </c>
      <c r="G105" s="57" t="s">
        <v>39</v>
      </c>
      <c r="H105" s="36">
        <v>1663</v>
      </c>
      <c r="I105" s="36">
        <f t="shared" si="22"/>
        <v>1663</v>
      </c>
      <c r="J105" s="36" t="s">
        <v>54</v>
      </c>
      <c r="K105" s="37">
        <v>1.1000000000000001</v>
      </c>
      <c r="L105" s="36">
        <f>I105*K105</f>
        <v>1829.3000000000002</v>
      </c>
      <c r="M105" s="155">
        <f>SUM(L105:L110)</f>
        <v>4340.0963000000011</v>
      </c>
      <c r="N105" s="155">
        <f>M105*0.2</f>
        <v>868.01926000000026</v>
      </c>
      <c r="O105" s="155">
        <f>M105+N105</f>
        <v>5208.1155600000011</v>
      </c>
      <c r="P105" s="153">
        <v>5555.6562308209504</v>
      </c>
      <c r="Q105" s="153">
        <v>6125.1054388238599</v>
      </c>
      <c r="R105" s="161">
        <v>1.0680000000000001</v>
      </c>
      <c r="S105" s="161">
        <v>1.056</v>
      </c>
      <c r="T105" s="161">
        <v>1.054</v>
      </c>
      <c r="U105" s="161">
        <v>1.0509999999999999</v>
      </c>
      <c r="V105" s="161">
        <v>1.0489999999999999</v>
      </c>
      <c r="W105" s="161">
        <v>1.0469999999999999</v>
      </c>
      <c r="X105" s="155">
        <v>0</v>
      </c>
      <c r="Y105" s="155">
        <v>0</v>
      </c>
      <c r="Z105" s="155">
        <v>0</v>
      </c>
      <c r="AA105" s="155">
        <v>0</v>
      </c>
      <c r="AB105" s="155">
        <f>Q105</f>
        <v>6125.1054388238599</v>
      </c>
      <c r="AC105" s="155">
        <v>0</v>
      </c>
      <c r="AD105" s="155">
        <f>O105</f>
        <v>5208.1155600000011</v>
      </c>
      <c r="AE105" s="153">
        <f>AD105*AG105*AH105*AI105*AJ105</f>
        <v>7018.0263606431454</v>
      </c>
      <c r="AF105" s="153">
        <f>AM105+AN105+AO105+AP105+AQ105+AR105</f>
        <v>7432.0899159210903</v>
      </c>
      <c r="AG105" s="161">
        <v>1.0680000000000001</v>
      </c>
      <c r="AH105" s="161">
        <v>1.056</v>
      </c>
      <c r="AI105" s="161">
        <v>1.0489999999999999</v>
      </c>
      <c r="AJ105" s="161">
        <v>1.139</v>
      </c>
      <c r="AK105" s="161">
        <v>1.0589999999999999</v>
      </c>
      <c r="AL105" s="161">
        <v>1.0529999999999999</v>
      </c>
      <c r="AM105" s="155">
        <v>0</v>
      </c>
      <c r="AN105" s="155">
        <v>0</v>
      </c>
      <c r="AO105" s="155">
        <v>0</v>
      </c>
      <c r="AP105" s="155">
        <v>0</v>
      </c>
      <c r="AQ105" s="155">
        <f>AD105*AG105*AH105*AI105*AJ105*AK105</f>
        <v>7432.0899159210903</v>
      </c>
      <c r="AR105" s="155">
        <v>0</v>
      </c>
      <c r="AS105" s="36" t="s">
        <v>175</v>
      </c>
      <c r="AT105" s="36" t="s">
        <v>175</v>
      </c>
      <c r="AU105" s="36" t="s">
        <v>175</v>
      </c>
      <c r="AV105" s="36" t="s">
        <v>175</v>
      </c>
      <c r="AW105" s="36" t="s">
        <v>175</v>
      </c>
      <c r="AX105" s="36" t="s">
        <v>175</v>
      </c>
      <c r="AY105" s="36" t="s">
        <v>175</v>
      </c>
      <c r="AZ105" s="36" t="s">
        <v>175</v>
      </c>
      <c r="BA105" s="38">
        <f>AS9-O9</f>
        <v>0</v>
      </c>
    </row>
    <row r="106" spans="1:53" s="39" customFormat="1" ht="60" x14ac:dyDescent="0.25">
      <c r="A106" s="208"/>
      <c r="B106" s="210"/>
      <c r="C106" s="206"/>
      <c r="D106" s="35" t="s">
        <v>44</v>
      </c>
      <c r="E106" s="35" t="s">
        <v>45</v>
      </c>
      <c r="F106" s="35">
        <v>24.95</v>
      </c>
      <c r="G106" s="57" t="s">
        <v>46</v>
      </c>
      <c r="H106" s="36">
        <v>17</v>
      </c>
      <c r="I106" s="36">
        <f t="shared" si="22"/>
        <v>424.15</v>
      </c>
      <c r="J106" s="36" t="s">
        <v>55</v>
      </c>
      <c r="K106" s="37">
        <v>1.05</v>
      </c>
      <c r="L106" s="36">
        <f>I106*K106</f>
        <v>445.35750000000002</v>
      </c>
      <c r="M106" s="156"/>
      <c r="N106" s="156"/>
      <c r="O106" s="156"/>
      <c r="P106" s="158"/>
      <c r="Q106" s="158"/>
      <c r="R106" s="162"/>
      <c r="S106" s="162"/>
      <c r="T106" s="162"/>
      <c r="U106" s="162"/>
      <c r="V106" s="162"/>
      <c r="W106" s="162"/>
      <c r="X106" s="156"/>
      <c r="Y106" s="156"/>
      <c r="Z106" s="156"/>
      <c r="AA106" s="156"/>
      <c r="AB106" s="156"/>
      <c r="AC106" s="156"/>
      <c r="AD106" s="156"/>
      <c r="AE106" s="158"/>
      <c r="AF106" s="158"/>
      <c r="AG106" s="162"/>
      <c r="AH106" s="162"/>
      <c r="AI106" s="162"/>
      <c r="AJ106" s="162"/>
      <c r="AK106" s="162"/>
      <c r="AL106" s="162"/>
      <c r="AM106" s="156"/>
      <c r="AN106" s="156"/>
      <c r="AO106" s="156"/>
      <c r="AP106" s="156"/>
      <c r="AQ106" s="156"/>
      <c r="AR106" s="156"/>
      <c r="AS106" s="36" t="s">
        <v>175</v>
      </c>
      <c r="AT106" s="36" t="s">
        <v>175</v>
      </c>
      <c r="AU106" s="36" t="s">
        <v>175</v>
      </c>
      <c r="AV106" s="36" t="s">
        <v>175</v>
      </c>
      <c r="AW106" s="36" t="s">
        <v>175</v>
      </c>
      <c r="AX106" s="36" t="s">
        <v>175</v>
      </c>
      <c r="AY106" s="36" t="s">
        <v>175</v>
      </c>
      <c r="AZ106" s="36" t="s">
        <v>175</v>
      </c>
      <c r="BA106" s="38" t="s">
        <v>175</v>
      </c>
    </row>
    <row r="107" spans="1:53" s="39" customFormat="1" ht="90" x14ac:dyDescent="0.25">
      <c r="A107" s="209"/>
      <c r="B107" s="210"/>
      <c r="C107" s="206"/>
      <c r="D107" s="35" t="s">
        <v>42</v>
      </c>
      <c r="E107" s="35" t="s">
        <v>34</v>
      </c>
      <c r="F107" s="35">
        <v>1.488</v>
      </c>
      <c r="G107" s="40" t="s">
        <v>43</v>
      </c>
      <c r="H107" s="36">
        <v>699</v>
      </c>
      <c r="I107" s="36">
        <f t="shared" si="22"/>
        <v>1040.1120000000001</v>
      </c>
      <c r="J107" s="36" t="s">
        <v>55</v>
      </c>
      <c r="K107" s="37">
        <v>1.05</v>
      </c>
      <c r="L107" s="36">
        <f>I107*K107</f>
        <v>1092.1176</v>
      </c>
      <c r="M107" s="156"/>
      <c r="N107" s="156"/>
      <c r="O107" s="156"/>
      <c r="P107" s="158"/>
      <c r="Q107" s="158"/>
      <c r="R107" s="162"/>
      <c r="S107" s="162"/>
      <c r="T107" s="162"/>
      <c r="U107" s="162"/>
      <c r="V107" s="162"/>
      <c r="W107" s="162"/>
      <c r="X107" s="156"/>
      <c r="Y107" s="156"/>
      <c r="Z107" s="156"/>
      <c r="AA107" s="156"/>
      <c r="AB107" s="156"/>
      <c r="AC107" s="156"/>
      <c r="AD107" s="156"/>
      <c r="AE107" s="158"/>
      <c r="AF107" s="158"/>
      <c r="AG107" s="162"/>
      <c r="AH107" s="162"/>
      <c r="AI107" s="162"/>
      <c r="AJ107" s="162"/>
      <c r="AK107" s="162"/>
      <c r="AL107" s="162"/>
      <c r="AM107" s="156"/>
      <c r="AN107" s="156"/>
      <c r="AO107" s="156"/>
      <c r="AP107" s="156"/>
      <c r="AQ107" s="156"/>
      <c r="AR107" s="156"/>
      <c r="AS107" s="36" t="s">
        <v>175</v>
      </c>
      <c r="AT107" s="36" t="s">
        <v>175</v>
      </c>
      <c r="AU107" s="36" t="s">
        <v>175</v>
      </c>
      <c r="AV107" s="36" t="s">
        <v>175</v>
      </c>
      <c r="AW107" s="36" t="s">
        <v>175</v>
      </c>
      <c r="AX107" s="36" t="s">
        <v>175</v>
      </c>
      <c r="AY107" s="36" t="s">
        <v>175</v>
      </c>
      <c r="AZ107" s="36" t="s">
        <v>175</v>
      </c>
      <c r="BA107" s="38">
        <f>AS9-O9</f>
        <v>0</v>
      </c>
    </row>
    <row r="108" spans="1:53" s="39" customFormat="1" ht="75" x14ac:dyDescent="0.25">
      <c r="A108" s="209"/>
      <c r="B108" s="210"/>
      <c r="C108" s="206"/>
      <c r="D108" s="35" t="s">
        <v>57</v>
      </c>
      <c r="E108" s="35" t="s">
        <v>34</v>
      </c>
      <c r="F108" s="35">
        <v>1.488</v>
      </c>
      <c r="G108" s="40" t="s">
        <v>58</v>
      </c>
      <c r="H108" s="36">
        <v>413</v>
      </c>
      <c r="I108" s="36">
        <f t="shared" si="22"/>
        <v>614.54399999999998</v>
      </c>
      <c r="J108" s="36" t="s">
        <v>55</v>
      </c>
      <c r="K108" s="37">
        <v>1.05</v>
      </c>
      <c r="L108" s="36">
        <f>I108*K108</f>
        <v>645.27120000000002</v>
      </c>
      <c r="M108" s="156"/>
      <c r="N108" s="156"/>
      <c r="O108" s="156"/>
      <c r="P108" s="158"/>
      <c r="Q108" s="158"/>
      <c r="R108" s="162"/>
      <c r="S108" s="162"/>
      <c r="T108" s="162"/>
      <c r="U108" s="162"/>
      <c r="V108" s="162"/>
      <c r="W108" s="162"/>
      <c r="X108" s="156"/>
      <c r="Y108" s="156"/>
      <c r="Z108" s="156"/>
      <c r="AA108" s="156"/>
      <c r="AB108" s="156"/>
      <c r="AC108" s="156"/>
      <c r="AD108" s="156"/>
      <c r="AE108" s="158"/>
      <c r="AF108" s="158"/>
      <c r="AG108" s="162"/>
      <c r="AH108" s="162"/>
      <c r="AI108" s="162"/>
      <c r="AJ108" s="162"/>
      <c r="AK108" s="162"/>
      <c r="AL108" s="162"/>
      <c r="AM108" s="156"/>
      <c r="AN108" s="156"/>
      <c r="AO108" s="156"/>
      <c r="AP108" s="156"/>
      <c r="AQ108" s="156"/>
      <c r="AR108" s="156"/>
      <c r="AS108" s="36" t="s">
        <v>175</v>
      </c>
      <c r="AT108" s="36" t="s">
        <v>175</v>
      </c>
      <c r="AU108" s="36" t="s">
        <v>175</v>
      </c>
      <c r="AV108" s="36" t="s">
        <v>175</v>
      </c>
      <c r="AW108" s="36" t="s">
        <v>175</v>
      </c>
      <c r="AX108" s="36" t="s">
        <v>175</v>
      </c>
      <c r="AY108" s="36" t="s">
        <v>175</v>
      </c>
      <c r="AZ108" s="36" t="s">
        <v>175</v>
      </c>
      <c r="BA108" s="38">
        <f>AS9-O9</f>
        <v>0</v>
      </c>
    </row>
    <row r="109" spans="1:53" s="39" customFormat="1" ht="75" x14ac:dyDescent="0.25">
      <c r="A109" s="209"/>
      <c r="B109" s="210"/>
      <c r="C109" s="206"/>
      <c r="D109" s="35" t="s">
        <v>48</v>
      </c>
      <c r="E109" s="35" t="s">
        <v>49</v>
      </c>
      <c r="F109" s="35">
        <v>0.15</v>
      </c>
      <c r="G109" s="40" t="s">
        <v>51</v>
      </c>
      <c r="H109" s="36">
        <v>187</v>
      </c>
      <c r="I109" s="36">
        <f t="shared" si="22"/>
        <v>28.05</v>
      </c>
      <c r="J109" s="36" t="s">
        <v>36</v>
      </c>
      <c r="K109" s="37" t="s">
        <v>36</v>
      </c>
      <c r="L109" s="36">
        <f>I109</f>
        <v>28.05</v>
      </c>
      <c r="M109" s="156"/>
      <c r="N109" s="156"/>
      <c r="O109" s="156"/>
      <c r="P109" s="158"/>
      <c r="Q109" s="158"/>
      <c r="R109" s="162"/>
      <c r="S109" s="162"/>
      <c r="T109" s="162"/>
      <c r="U109" s="162"/>
      <c r="V109" s="162"/>
      <c r="W109" s="162"/>
      <c r="X109" s="156"/>
      <c r="Y109" s="156"/>
      <c r="Z109" s="156"/>
      <c r="AA109" s="156"/>
      <c r="AB109" s="156"/>
      <c r="AC109" s="156"/>
      <c r="AD109" s="156"/>
      <c r="AE109" s="158"/>
      <c r="AF109" s="158"/>
      <c r="AG109" s="162"/>
      <c r="AH109" s="162"/>
      <c r="AI109" s="162"/>
      <c r="AJ109" s="162"/>
      <c r="AK109" s="162"/>
      <c r="AL109" s="162"/>
      <c r="AM109" s="156"/>
      <c r="AN109" s="156"/>
      <c r="AO109" s="156"/>
      <c r="AP109" s="156"/>
      <c r="AQ109" s="156"/>
      <c r="AR109" s="156"/>
      <c r="AS109" s="36" t="s">
        <v>175</v>
      </c>
      <c r="AT109" s="36" t="s">
        <v>175</v>
      </c>
      <c r="AU109" s="36" t="s">
        <v>175</v>
      </c>
      <c r="AV109" s="36" t="s">
        <v>175</v>
      </c>
      <c r="AW109" s="36" t="s">
        <v>175</v>
      </c>
      <c r="AX109" s="36" t="s">
        <v>175</v>
      </c>
      <c r="AY109" s="36" t="s">
        <v>175</v>
      </c>
      <c r="AZ109" s="36" t="s">
        <v>175</v>
      </c>
      <c r="BA109" s="38">
        <f>AS9-O9</f>
        <v>0</v>
      </c>
    </row>
    <row r="110" spans="1:53" s="39" customFormat="1" ht="30" x14ac:dyDescent="0.25">
      <c r="A110" s="209"/>
      <c r="B110" s="210"/>
      <c r="C110" s="206"/>
      <c r="D110" s="35" t="s">
        <v>40</v>
      </c>
      <c r="E110" s="35" t="s">
        <v>41</v>
      </c>
      <c r="F110" s="35">
        <v>1</v>
      </c>
      <c r="G110" s="40" t="s">
        <v>195</v>
      </c>
      <c r="H110" s="36">
        <v>300</v>
      </c>
      <c r="I110" s="36">
        <f t="shared" si="22"/>
        <v>300</v>
      </c>
      <c r="J110" s="36" t="s">
        <v>36</v>
      </c>
      <c r="K110" s="37" t="s">
        <v>36</v>
      </c>
      <c r="L110" s="36">
        <f>I110</f>
        <v>300</v>
      </c>
      <c r="M110" s="157"/>
      <c r="N110" s="157"/>
      <c r="O110" s="157"/>
      <c r="P110" s="154"/>
      <c r="Q110" s="154"/>
      <c r="R110" s="163"/>
      <c r="S110" s="163"/>
      <c r="T110" s="163"/>
      <c r="U110" s="163"/>
      <c r="V110" s="163"/>
      <c r="W110" s="163"/>
      <c r="X110" s="156"/>
      <c r="Y110" s="156"/>
      <c r="Z110" s="156"/>
      <c r="AA110" s="157"/>
      <c r="AB110" s="157"/>
      <c r="AC110" s="157"/>
      <c r="AD110" s="157"/>
      <c r="AE110" s="154"/>
      <c r="AF110" s="154"/>
      <c r="AG110" s="163"/>
      <c r="AH110" s="163"/>
      <c r="AI110" s="163"/>
      <c r="AJ110" s="163"/>
      <c r="AK110" s="163"/>
      <c r="AL110" s="163"/>
      <c r="AM110" s="157"/>
      <c r="AN110" s="157"/>
      <c r="AO110" s="157"/>
      <c r="AP110" s="157"/>
      <c r="AQ110" s="157"/>
      <c r="AR110" s="157"/>
      <c r="AS110" s="36" t="s">
        <v>175</v>
      </c>
      <c r="AT110" s="36" t="s">
        <v>175</v>
      </c>
      <c r="AU110" s="36" t="s">
        <v>175</v>
      </c>
      <c r="AV110" s="36" t="s">
        <v>175</v>
      </c>
      <c r="AW110" s="36" t="s">
        <v>175</v>
      </c>
      <c r="AX110" s="36" t="s">
        <v>175</v>
      </c>
      <c r="AY110" s="36" t="s">
        <v>175</v>
      </c>
      <c r="AZ110" s="36" t="s">
        <v>175</v>
      </c>
      <c r="BA110" s="38">
        <f>AS9-O9</f>
        <v>0</v>
      </c>
    </row>
    <row r="111" spans="1:53" s="39" customFormat="1" ht="84" customHeight="1" x14ac:dyDescent="0.25">
      <c r="A111" s="53">
        <v>25</v>
      </c>
      <c r="B111" s="57" t="s">
        <v>245</v>
      </c>
      <c r="C111" s="56">
        <v>35</v>
      </c>
      <c r="D111" s="35" t="s">
        <v>186</v>
      </c>
      <c r="E111" s="35" t="s">
        <v>37</v>
      </c>
      <c r="F111" s="35">
        <v>1</v>
      </c>
      <c r="G111" s="57" t="s">
        <v>187</v>
      </c>
      <c r="H111" s="36">
        <v>20978</v>
      </c>
      <c r="I111" s="36">
        <f t="shared" si="22"/>
        <v>20978</v>
      </c>
      <c r="J111" s="36" t="s">
        <v>92</v>
      </c>
      <c r="K111" s="37">
        <v>1.05</v>
      </c>
      <c r="L111" s="36">
        <f t="shared" ref="L111" si="28">I111*K111</f>
        <v>22026.9</v>
      </c>
      <c r="M111" s="36">
        <f>L111</f>
        <v>22026.9</v>
      </c>
      <c r="N111" s="36">
        <f>M111*0.2</f>
        <v>4405.38</v>
      </c>
      <c r="O111" s="36">
        <f>M111+N111</f>
        <v>26432.280000000002</v>
      </c>
      <c r="P111" s="32">
        <f>O111*R111*S111*T111</f>
        <v>31420.305831720969</v>
      </c>
      <c r="Q111" s="32">
        <f>X111+Y111+Z111+AA111+AB111+AC111</f>
        <v>36268.975979847353</v>
      </c>
      <c r="R111" s="92">
        <v>1.0680000000000001</v>
      </c>
      <c r="S111" s="92">
        <v>1.056</v>
      </c>
      <c r="T111" s="92">
        <v>1.054</v>
      </c>
      <c r="U111" s="92">
        <v>1.0509999999999999</v>
      </c>
      <c r="V111" s="92">
        <v>1.0489999999999999</v>
      </c>
      <c r="W111" s="92">
        <v>1.0469999999999999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f>R111*S111*T111*U111*V111*W111*O111</f>
        <v>36268.975979847353</v>
      </c>
      <c r="AD111" s="36">
        <f>L111*1.2</f>
        <v>26432.280000000002</v>
      </c>
      <c r="AE111" s="32">
        <f>AD111*AG111*AH111*AI111*AJ111</f>
        <v>35617.95733501362</v>
      </c>
      <c r="AF111" s="32">
        <f>AM111+AN111+AO111+AP111+AQ111+AR111</f>
        <v>39718.545909121727</v>
      </c>
      <c r="AG111" s="92">
        <v>1.0680000000000001</v>
      </c>
      <c r="AH111" s="92">
        <v>1.056</v>
      </c>
      <c r="AI111" s="92">
        <v>1.0489999999999999</v>
      </c>
      <c r="AJ111" s="92">
        <v>1.139</v>
      </c>
      <c r="AK111" s="92">
        <v>1.0589999999999999</v>
      </c>
      <c r="AL111" s="92">
        <v>1.0529999999999999</v>
      </c>
      <c r="AM111" s="80">
        <v>0</v>
      </c>
      <c r="AN111" s="80">
        <v>0</v>
      </c>
      <c r="AO111" s="80">
        <v>0</v>
      </c>
      <c r="AP111" s="80">
        <v>0</v>
      </c>
      <c r="AQ111" s="80">
        <v>0</v>
      </c>
      <c r="AR111" s="80">
        <f>AD111*AG111*AH111*AI111*AJ111*AK111*AL111</f>
        <v>39718.545909121727</v>
      </c>
      <c r="AS111" s="36" t="s">
        <v>175</v>
      </c>
      <c r="AT111" s="36" t="s">
        <v>175</v>
      </c>
      <c r="AU111" s="36" t="s">
        <v>175</v>
      </c>
      <c r="AV111" s="36" t="s">
        <v>175</v>
      </c>
      <c r="AW111" s="36" t="s">
        <v>175</v>
      </c>
      <c r="AX111" s="36" t="s">
        <v>175</v>
      </c>
      <c r="AY111" s="36" t="s">
        <v>175</v>
      </c>
      <c r="AZ111" s="36" t="s">
        <v>175</v>
      </c>
      <c r="BA111" s="95">
        <f>AS9-O9</f>
        <v>0</v>
      </c>
    </row>
    <row r="112" spans="1:53" s="39" customFormat="1" ht="80.25" customHeight="1" x14ac:dyDescent="0.25">
      <c r="A112" s="53">
        <v>26</v>
      </c>
      <c r="B112" s="57" t="s">
        <v>196</v>
      </c>
      <c r="C112" s="56">
        <v>110</v>
      </c>
      <c r="D112" s="35" t="s">
        <v>180</v>
      </c>
      <c r="E112" s="35" t="s">
        <v>37</v>
      </c>
      <c r="F112" s="35">
        <v>1</v>
      </c>
      <c r="G112" s="57" t="s">
        <v>181</v>
      </c>
      <c r="H112" s="36">
        <v>28252</v>
      </c>
      <c r="I112" s="36">
        <f t="shared" si="22"/>
        <v>28252</v>
      </c>
      <c r="J112" s="36" t="s">
        <v>92</v>
      </c>
      <c r="K112" s="37">
        <v>1.05</v>
      </c>
      <c r="L112" s="36">
        <f>I112*K112</f>
        <v>29664.600000000002</v>
      </c>
      <c r="M112" s="36">
        <f>L112</f>
        <v>29664.600000000002</v>
      </c>
      <c r="N112" s="36">
        <f>M112*0.2</f>
        <v>5932.920000000001</v>
      </c>
      <c r="O112" s="36">
        <f>M112+N112</f>
        <v>35597.520000000004</v>
      </c>
      <c r="P112" s="32">
        <f>O112*R112*S112*T112</f>
        <v>42315.114899312648</v>
      </c>
      <c r="Q112" s="32">
        <f>X112+Y112+Z112+AA112+AB112+AC112</f>
        <v>48845.033338862027</v>
      </c>
      <c r="R112" s="92">
        <v>1.0680000000000001</v>
      </c>
      <c r="S112" s="92">
        <v>1.056</v>
      </c>
      <c r="T112" s="92">
        <v>1.054</v>
      </c>
      <c r="U112" s="92">
        <v>1.0509999999999999</v>
      </c>
      <c r="V112" s="92">
        <v>1.0489999999999999</v>
      </c>
      <c r="W112" s="92">
        <v>1.0469999999999999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f>O112*T112*U112*V112*W112*R112*S112</f>
        <v>48845.033338862027</v>
      </c>
      <c r="AD112" s="36">
        <f>O112</f>
        <v>35597.520000000004</v>
      </c>
      <c r="AE112" s="32">
        <f>AD112*AG112*AH112*AI112*AJ112</f>
        <v>47968.277749490175</v>
      </c>
      <c r="AF112" s="32">
        <f>AM112+AN112+AO112+AP112+AQ112+AR112</f>
        <v>53490.721661955729</v>
      </c>
      <c r="AG112" s="92">
        <v>1.0680000000000001</v>
      </c>
      <c r="AH112" s="92">
        <v>1.056</v>
      </c>
      <c r="AI112" s="92">
        <v>1.0489999999999999</v>
      </c>
      <c r="AJ112" s="92">
        <v>1.139</v>
      </c>
      <c r="AK112" s="92">
        <v>1.0589999999999999</v>
      </c>
      <c r="AL112" s="92">
        <v>1.0529999999999999</v>
      </c>
      <c r="AM112" s="80">
        <v>0</v>
      </c>
      <c r="AN112" s="80">
        <v>0</v>
      </c>
      <c r="AO112" s="80">
        <v>0</v>
      </c>
      <c r="AP112" s="80">
        <v>0</v>
      </c>
      <c r="AQ112" s="80">
        <v>0</v>
      </c>
      <c r="AR112" s="80">
        <f>AD112*AG112*AH112*AI112*AJ112*AK112*AL112</f>
        <v>53490.721661955729</v>
      </c>
      <c r="AS112" s="36" t="s">
        <v>175</v>
      </c>
      <c r="AT112" s="36" t="s">
        <v>175</v>
      </c>
      <c r="AU112" s="36" t="s">
        <v>175</v>
      </c>
      <c r="AV112" s="36" t="s">
        <v>175</v>
      </c>
      <c r="AW112" s="36" t="s">
        <v>175</v>
      </c>
      <c r="AX112" s="36" t="s">
        <v>175</v>
      </c>
      <c r="AY112" s="36" t="s">
        <v>175</v>
      </c>
      <c r="AZ112" s="36" t="s">
        <v>175</v>
      </c>
      <c r="BA112" s="95">
        <f>AS9-O9</f>
        <v>0</v>
      </c>
    </row>
    <row r="113" spans="1:53" ht="45" customHeight="1" x14ac:dyDescent="0.25">
      <c r="A113" s="168">
        <v>27</v>
      </c>
      <c r="B113" s="207" t="s">
        <v>197</v>
      </c>
      <c r="C113" s="200">
        <v>35</v>
      </c>
      <c r="D113" s="41" t="s">
        <v>190</v>
      </c>
      <c r="E113" s="41" t="s">
        <v>33</v>
      </c>
      <c r="F113" s="41">
        <v>8</v>
      </c>
      <c r="G113" s="42" t="s">
        <v>191</v>
      </c>
      <c r="H113" s="32">
        <v>9040</v>
      </c>
      <c r="I113" s="32">
        <f t="shared" si="22"/>
        <v>72320</v>
      </c>
      <c r="J113" s="32" t="s">
        <v>59</v>
      </c>
      <c r="K113" s="33">
        <v>1.03</v>
      </c>
      <c r="L113" s="32">
        <f>I113*K113</f>
        <v>74489.600000000006</v>
      </c>
      <c r="M113" s="153">
        <f>L113+L114</f>
        <v>85625.600000000006</v>
      </c>
      <c r="N113" s="153">
        <f>M113*0.2</f>
        <v>17125.120000000003</v>
      </c>
      <c r="O113" s="153">
        <f>(M113+N113)</f>
        <v>102750.72</v>
      </c>
      <c r="P113" s="153">
        <f>O113*R113*S113*T113</f>
        <v>122140.77055893505</v>
      </c>
      <c r="Q113" s="153">
        <f>X113+Y113+Z113+AA113+AB113+AC113</f>
        <v>140989.10103827671</v>
      </c>
      <c r="R113" s="151">
        <v>1.0680000000000001</v>
      </c>
      <c r="S113" s="151">
        <v>1.056</v>
      </c>
      <c r="T113" s="151">
        <v>1.054</v>
      </c>
      <c r="U113" s="151">
        <v>1.0509999999999999</v>
      </c>
      <c r="V113" s="151">
        <v>1.0489999999999999</v>
      </c>
      <c r="W113" s="151">
        <v>1.0469999999999999</v>
      </c>
      <c r="X113" s="153">
        <v>0</v>
      </c>
      <c r="Y113" s="153">
        <v>0</v>
      </c>
      <c r="Z113" s="153">
        <v>0</v>
      </c>
      <c r="AA113" s="153">
        <v>0</v>
      </c>
      <c r="AB113" s="153">
        <v>0</v>
      </c>
      <c r="AC113" s="153">
        <f>O113*R113*S113*T113*U113*V113*W113</f>
        <v>140989.10103827671</v>
      </c>
      <c r="AD113" s="153">
        <f>O113</f>
        <v>102750.72</v>
      </c>
      <c r="AE113" s="153">
        <f>AD113*AG113*AH113*AI113*AJ113</f>
        <v>138458.3835031231</v>
      </c>
      <c r="AF113" s="153">
        <f>AM113+AN113+AO113+AP113+AQ113+AR113</f>
        <v>154398.68182068714</v>
      </c>
      <c r="AG113" s="151">
        <v>1.0680000000000001</v>
      </c>
      <c r="AH113" s="151">
        <v>1.056</v>
      </c>
      <c r="AI113" s="151">
        <v>1.0489999999999999</v>
      </c>
      <c r="AJ113" s="151">
        <v>1.139</v>
      </c>
      <c r="AK113" s="151">
        <v>1.0589999999999999</v>
      </c>
      <c r="AL113" s="151">
        <v>1.0529999999999999</v>
      </c>
      <c r="AM113" s="153">
        <v>0</v>
      </c>
      <c r="AN113" s="153">
        <v>0</v>
      </c>
      <c r="AO113" s="153">
        <v>0</v>
      </c>
      <c r="AP113" s="153">
        <v>0</v>
      </c>
      <c r="AQ113" s="153">
        <v>0</v>
      </c>
      <c r="AR113" s="153">
        <f>AD113*AG113*AH113*AI113*AJ113*AK113*AL113</f>
        <v>154398.68182068714</v>
      </c>
      <c r="AS113" s="32" t="s">
        <v>175</v>
      </c>
      <c r="AT113" s="32" t="s">
        <v>175</v>
      </c>
      <c r="AU113" s="32" t="s">
        <v>175</v>
      </c>
      <c r="AV113" s="32" t="s">
        <v>175</v>
      </c>
      <c r="AW113" s="32" t="s">
        <v>175</v>
      </c>
      <c r="AX113" s="32" t="s">
        <v>175</v>
      </c>
      <c r="AY113" s="32" t="s">
        <v>175</v>
      </c>
      <c r="AZ113" s="32" t="s">
        <v>175</v>
      </c>
      <c r="BA113" s="58">
        <f>AS9-O9</f>
        <v>0</v>
      </c>
    </row>
    <row r="114" spans="1:53" ht="45.75" customHeight="1" x14ac:dyDescent="0.25">
      <c r="A114" s="169"/>
      <c r="B114" s="207"/>
      <c r="C114" s="200"/>
      <c r="D114" s="41" t="s">
        <v>168</v>
      </c>
      <c r="E114" s="41" t="s">
        <v>33</v>
      </c>
      <c r="F114" s="41">
        <v>8</v>
      </c>
      <c r="G114" s="42" t="s">
        <v>74</v>
      </c>
      <c r="H114" s="32">
        <v>1392</v>
      </c>
      <c r="I114" s="32">
        <f t="shared" si="22"/>
        <v>11136</v>
      </c>
      <c r="J114" s="32" t="s">
        <v>36</v>
      </c>
      <c r="K114" s="33" t="s">
        <v>36</v>
      </c>
      <c r="L114" s="32">
        <f>I114</f>
        <v>11136</v>
      </c>
      <c r="M114" s="154"/>
      <c r="N114" s="154"/>
      <c r="O114" s="154"/>
      <c r="P114" s="154"/>
      <c r="Q114" s="154"/>
      <c r="R114" s="152"/>
      <c r="S114" s="152"/>
      <c r="T114" s="152"/>
      <c r="U114" s="152"/>
      <c r="V114" s="152"/>
      <c r="W114" s="152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2"/>
      <c r="AH114" s="152"/>
      <c r="AI114" s="152"/>
      <c r="AJ114" s="152"/>
      <c r="AK114" s="152"/>
      <c r="AL114" s="152"/>
      <c r="AM114" s="154"/>
      <c r="AN114" s="154"/>
      <c r="AO114" s="154"/>
      <c r="AP114" s="154"/>
      <c r="AQ114" s="154"/>
      <c r="AR114" s="154"/>
      <c r="AS114" s="32" t="s">
        <v>175</v>
      </c>
      <c r="AT114" s="32" t="s">
        <v>175</v>
      </c>
      <c r="AU114" s="32" t="s">
        <v>175</v>
      </c>
      <c r="AV114" s="32" t="s">
        <v>175</v>
      </c>
      <c r="AW114" s="32" t="s">
        <v>175</v>
      </c>
      <c r="AX114" s="32" t="s">
        <v>175</v>
      </c>
      <c r="AY114" s="32" t="s">
        <v>175</v>
      </c>
      <c r="AZ114" s="32" t="s">
        <v>175</v>
      </c>
      <c r="BA114" s="58">
        <f>AS9-O9</f>
        <v>0</v>
      </c>
    </row>
    <row r="115" spans="1:53" ht="45" customHeight="1" x14ac:dyDescent="0.25">
      <c r="A115" s="168">
        <v>28</v>
      </c>
      <c r="B115" s="207" t="s">
        <v>198</v>
      </c>
      <c r="C115" s="200">
        <v>6</v>
      </c>
      <c r="D115" s="41" t="s">
        <v>199</v>
      </c>
      <c r="E115" s="41" t="s">
        <v>33</v>
      </c>
      <c r="F115" s="41">
        <v>10</v>
      </c>
      <c r="G115" s="42" t="s">
        <v>200</v>
      </c>
      <c r="H115" s="32">
        <v>2486</v>
      </c>
      <c r="I115" s="32">
        <f t="shared" si="22"/>
        <v>24860</v>
      </c>
      <c r="J115" s="32" t="s">
        <v>59</v>
      </c>
      <c r="K115" s="33">
        <v>1.03</v>
      </c>
      <c r="L115" s="32">
        <f t="shared" ref="L115:L120" si="29">I115*K115</f>
        <v>25605.8</v>
      </c>
      <c r="M115" s="153">
        <f>L115</f>
        <v>25605.8</v>
      </c>
      <c r="N115" s="153">
        <f>M115*0.2</f>
        <v>5121.16</v>
      </c>
      <c r="O115" s="153">
        <f>M115+N115</f>
        <v>30726.959999999999</v>
      </c>
      <c r="P115" s="153">
        <f>O115*R115*S115*T115</f>
        <v>36525.433314078728</v>
      </c>
      <c r="Q115" s="153">
        <f>X115+Y115+Z115+AA115+AB115+AC115</f>
        <v>42161.908627395387</v>
      </c>
      <c r="R115" s="151">
        <v>1.0680000000000001</v>
      </c>
      <c r="S115" s="151">
        <v>1.056</v>
      </c>
      <c r="T115" s="151">
        <v>1.054</v>
      </c>
      <c r="U115" s="151">
        <v>1.0509999999999999</v>
      </c>
      <c r="V115" s="151">
        <v>1.0489999999999999</v>
      </c>
      <c r="W115" s="151">
        <v>1.0469999999999999</v>
      </c>
      <c r="X115" s="153">
        <v>0</v>
      </c>
      <c r="Y115" s="153">
        <v>0</v>
      </c>
      <c r="Z115" s="153">
        <v>0</v>
      </c>
      <c r="AA115" s="153">
        <v>0</v>
      </c>
      <c r="AB115" s="153">
        <v>0</v>
      </c>
      <c r="AC115" s="153">
        <f>O115*R115*S115*T115*U115*V115*W115</f>
        <v>42161.908627395387</v>
      </c>
      <c r="AD115" s="153">
        <f>O115</f>
        <v>30726.959999999999</v>
      </c>
      <c r="AE115" s="153">
        <f>AD115*AG115*AH115*AI115*AJ115</f>
        <v>41405.113380861214</v>
      </c>
      <c r="AF115" s="153">
        <f>AM115+AN115+AO115+AP115+AQ115+AR115</f>
        <v>46171.959869059618</v>
      </c>
      <c r="AG115" s="151">
        <v>1.0680000000000001</v>
      </c>
      <c r="AH115" s="151">
        <v>1.056</v>
      </c>
      <c r="AI115" s="151">
        <v>1.0489999999999999</v>
      </c>
      <c r="AJ115" s="151">
        <v>1.139</v>
      </c>
      <c r="AK115" s="151">
        <v>1.0589999999999999</v>
      </c>
      <c r="AL115" s="151">
        <v>1.0529999999999999</v>
      </c>
      <c r="AM115" s="153">
        <v>0</v>
      </c>
      <c r="AN115" s="153">
        <v>0</v>
      </c>
      <c r="AO115" s="153">
        <v>0</v>
      </c>
      <c r="AP115" s="153">
        <v>0</v>
      </c>
      <c r="AQ115" s="153">
        <v>0</v>
      </c>
      <c r="AR115" s="153">
        <f>AD115*AG115*AH115*AI115*AJ115*AK115*AL115</f>
        <v>46171.959869059618</v>
      </c>
      <c r="AS115" s="32" t="s">
        <v>175</v>
      </c>
      <c r="AT115" s="32" t="s">
        <v>175</v>
      </c>
      <c r="AU115" s="32" t="s">
        <v>175</v>
      </c>
      <c r="AV115" s="32" t="s">
        <v>175</v>
      </c>
      <c r="AW115" s="32" t="s">
        <v>175</v>
      </c>
      <c r="AX115" s="32" t="s">
        <v>175</v>
      </c>
      <c r="AY115" s="32" t="s">
        <v>175</v>
      </c>
      <c r="AZ115" s="32" t="s">
        <v>175</v>
      </c>
      <c r="BA115" s="58">
        <f>AS9-O9</f>
        <v>0</v>
      </c>
    </row>
    <row r="116" spans="1:53" ht="60.75" customHeight="1" x14ac:dyDescent="0.25">
      <c r="A116" s="169"/>
      <c r="B116" s="207"/>
      <c r="C116" s="200"/>
      <c r="D116" s="41" t="s">
        <v>192</v>
      </c>
      <c r="E116" s="41" t="s">
        <v>33</v>
      </c>
      <c r="F116" s="41">
        <v>1</v>
      </c>
      <c r="G116" s="42" t="s">
        <v>193</v>
      </c>
      <c r="H116" s="32">
        <v>1996</v>
      </c>
      <c r="I116" s="32">
        <f t="shared" si="22"/>
        <v>1996</v>
      </c>
      <c r="J116" s="32" t="s">
        <v>100</v>
      </c>
      <c r="K116" s="33">
        <v>1.04</v>
      </c>
      <c r="L116" s="32">
        <f t="shared" si="29"/>
        <v>2075.84</v>
      </c>
      <c r="M116" s="154"/>
      <c r="N116" s="154"/>
      <c r="O116" s="154"/>
      <c r="P116" s="154"/>
      <c r="Q116" s="154"/>
      <c r="R116" s="152"/>
      <c r="S116" s="152"/>
      <c r="T116" s="152"/>
      <c r="U116" s="152"/>
      <c r="V116" s="152"/>
      <c r="W116" s="152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2"/>
      <c r="AH116" s="152"/>
      <c r="AI116" s="152"/>
      <c r="AJ116" s="152"/>
      <c r="AK116" s="152"/>
      <c r="AL116" s="152"/>
      <c r="AM116" s="154"/>
      <c r="AN116" s="154"/>
      <c r="AO116" s="154"/>
      <c r="AP116" s="154"/>
      <c r="AQ116" s="154"/>
      <c r="AR116" s="154"/>
      <c r="AS116" s="32" t="s">
        <v>175</v>
      </c>
      <c r="AT116" s="32" t="s">
        <v>175</v>
      </c>
      <c r="AU116" s="32" t="s">
        <v>175</v>
      </c>
      <c r="AV116" s="32" t="s">
        <v>175</v>
      </c>
      <c r="AW116" s="32" t="s">
        <v>175</v>
      </c>
      <c r="AX116" s="32" t="s">
        <v>175</v>
      </c>
      <c r="AY116" s="32" t="s">
        <v>175</v>
      </c>
      <c r="AZ116" s="32" t="s">
        <v>175</v>
      </c>
      <c r="BA116" s="58">
        <f>AS9-O9</f>
        <v>0</v>
      </c>
    </row>
    <row r="117" spans="1:53" s="39" customFormat="1" ht="78.75" customHeight="1" x14ac:dyDescent="0.25">
      <c r="A117" s="170">
        <v>29</v>
      </c>
      <c r="B117" s="210" t="s">
        <v>204</v>
      </c>
      <c r="C117" s="206">
        <v>110</v>
      </c>
      <c r="D117" s="35" t="s">
        <v>119</v>
      </c>
      <c r="E117" s="35" t="s">
        <v>45</v>
      </c>
      <c r="F117" s="35">
        <v>370.65</v>
      </c>
      <c r="G117" s="40" t="s">
        <v>118</v>
      </c>
      <c r="H117" s="36">
        <v>101</v>
      </c>
      <c r="I117" s="36">
        <f>F117*H117</f>
        <v>37435.649999999994</v>
      </c>
      <c r="J117" s="35" t="s">
        <v>55</v>
      </c>
      <c r="K117" s="35">
        <v>1.05</v>
      </c>
      <c r="L117" s="36">
        <f t="shared" si="29"/>
        <v>39307.432499999995</v>
      </c>
      <c r="M117" s="199">
        <f>SUM(L117:L121)</f>
        <v>108042.1825</v>
      </c>
      <c r="N117" s="199">
        <f>M117*0.2</f>
        <v>21608.4365</v>
      </c>
      <c r="O117" s="199">
        <f>M117+N117</f>
        <v>129650.61899999999</v>
      </c>
      <c r="P117" s="153">
        <f>O117*R117*S117*T117</f>
        <v>154116.93960006224</v>
      </c>
      <c r="Q117" s="153">
        <f>SUM(X117:AC121)</f>
        <v>177899.71906635902</v>
      </c>
      <c r="R117" s="211">
        <v>1.0680000000000001</v>
      </c>
      <c r="S117" s="211">
        <v>1.056</v>
      </c>
      <c r="T117" s="211">
        <v>1.054</v>
      </c>
      <c r="U117" s="211">
        <v>1.0509999999999999</v>
      </c>
      <c r="V117" s="211">
        <v>1.0489999999999999</v>
      </c>
      <c r="W117" s="211">
        <v>1.0469999999999999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f>O117*T117*U117*V117*W117*R117*S117</f>
        <v>177899.71906635902</v>
      </c>
      <c r="AD117" s="199">
        <f>O117</f>
        <v>129650.61899999999</v>
      </c>
      <c r="AE117" s="153">
        <f>AD117*AG117*AH117*AI117*AJ117</f>
        <v>166884.18392539196</v>
      </c>
      <c r="AF117" s="153">
        <f>AM117+AN117+AO117+AP117+AQ117+AR117</f>
        <v>185743.59866661654</v>
      </c>
      <c r="AG117" s="211">
        <v>1.032</v>
      </c>
      <c r="AH117" s="211">
        <v>1.038</v>
      </c>
      <c r="AI117" s="211">
        <v>1.07</v>
      </c>
      <c r="AJ117" s="211">
        <v>1.123</v>
      </c>
      <c r="AK117" s="211">
        <v>1.0589999999999999</v>
      </c>
      <c r="AL117" s="211">
        <v>1.0509999999999999</v>
      </c>
      <c r="AM117" s="155">
        <v>0</v>
      </c>
      <c r="AN117" s="155">
        <v>0</v>
      </c>
      <c r="AO117" s="155">
        <v>0</v>
      </c>
      <c r="AP117" s="155">
        <v>0</v>
      </c>
      <c r="AQ117" s="155">
        <v>0</v>
      </c>
      <c r="AR117" s="242">
        <f>AD117*AJ117*AK117*AL117*AG117*AH117*AI117</f>
        <v>185743.59866661654</v>
      </c>
      <c r="AS117" s="36" t="s">
        <v>175</v>
      </c>
      <c r="AT117" s="36" t="s">
        <v>175</v>
      </c>
      <c r="AU117" s="36" t="s">
        <v>175</v>
      </c>
      <c r="AV117" s="36" t="s">
        <v>175</v>
      </c>
      <c r="AW117" s="36" t="s">
        <v>175</v>
      </c>
      <c r="AX117" s="36" t="s">
        <v>175</v>
      </c>
      <c r="AY117" s="36" t="s">
        <v>175</v>
      </c>
      <c r="AZ117" s="36" t="s">
        <v>175</v>
      </c>
      <c r="BA117" s="96">
        <f>AS9-O9</f>
        <v>0</v>
      </c>
    </row>
    <row r="118" spans="1:53" s="39" customFormat="1" ht="54.75" customHeight="1" x14ac:dyDescent="0.25">
      <c r="A118" s="170"/>
      <c r="B118" s="210"/>
      <c r="C118" s="206"/>
      <c r="D118" s="35" t="s">
        <v>120</v>
      </c>
      <c r="E118" s="35" t="s">
        <v>34</v>
      </c>
      <c r="F118" s="35">
        <v>12.5</v>
      </c>
      <c r="G118" s="40" t="s">
        <v>205</v>
      </c>
      <c r="H118" s="36">
        <v>716</v>
      </c>
      <c r="I118" s="36">
        <f t="shared" ref="I118" si="30">F118*H118</f>
        <v>8950</v>
      </c>
      <c r="J118" s="36" t="s">
        <v>55</v>
      </c>
      <c r="K118" s="37">
        <v>1.05</v>
      </c>
      <c r="L118" s="36">
        <f t="shared" si="29"/>
        <v>9397.5</v>
      </c>
      <c r="M118" s="199"/>
      <c r="N118" s="199"/>
      <c r="O118" s="199"/>
      <c r="P118" s="158"/>
      <c r="Q118" s="158"/>
      <c r="R118" s="212"/>
      <c r="S118" s="212"/>
      <c r="T118" s="212"/>
      <c r="U118" s="212"/>
      <c r="V118" s="212"/>
      <c r="W118" s="212"/>
      <c r="X118" s="199"/>
      <c r="Y118" s="199"/>
      <c r="Z118" s="199"/>
      <c r="AA118" s="199"/>
      <c r="AB118" s="199"/>
      <c r="AC118" s="199"/>
      <c r="AD118" s="199"/>
      <c r="AE118" s="158"/>
      <c r="AF118" s="158"/>
      <c r="AG118" s="212"/>
      <c r="AH118" s="212"/>
      <c r="AI118" s="212"/>
      <c r="AJ118" s="212"/>
      <c r="AK118" s="212"/>
      <c r="AL118" s="212"/>
      <c r="AM118" s="156"/>
      <c r="AN118" s="156"/>
      <c r="AO118" s="156"/>
      <c r="AP118" s="156"/>
      <c r="AQ118" s="156"/>
      <c r="AR118" s="243"/>
      <c r="AS118" s="36" t="s">
        <v>175</v>
      </c>
      <c r="AT118" s="36" t="s">
        <v>175</v>
      </c>
      <c r="AU118" s="36" t="s">
        <v>175</v>
      </c>
      <c r="AV118" s="36" t="s">
        <v>175</v>
      </c>
      <c r="AW118" s="36" t="s">
        <v>175</v>
      </c>
      <c r="AX118" s="36" t="s">
        <v>175</v>
      </c>
      <c r="AY118" s="36" t="s">
        <v>175</v>
      </c>
      <c r="AZ118" s="36" t="s">
        <v>175</v>
      </c>
      <c r="BA118" s="96">
        <f>AS9-O9</f>
        <v>0</v>
      </c>
    </row>
    <row r="119" spans="1:53" s="39" customFormat="1" ht="64.5" customHeight="1" x14ac:dyDescent="0.25">
      <c r="A119" s="170"/>
      <c r="B119" s="210"/>
      <c r="C119" s="206"/>
      <c r="D119" s="35" t="s">
        <v>129</v>
      </c>
      <c r="E119" s="35" t="s">
        <v>34</v>
      </c>
      <c r="F119" s="35">
        <v>12.5</v>
      </c>
      <c r="G119" s="40" t="s">
        <v>130</v>
      </c>
      <c r="H119" s="36">
        <v>669</v>
      </c>
      <c r="I119" s="36">
        <f>F119*H119</f>
        <v>8362.5</v>
      </c>
      <c r="J119" s="35" t="s">
        <v>55</v>
      </c>
      <c r="K119" s="35">
        <v>1.05</v>
      </c>
      <c r="L119" s="36">
        <f t="shared" si="29"/>
        <v>8780.625</v>
      </c>
      <c r="M119" s="199"/>
      <c r="N119" s="199"/>
      <c r="O119" s="199"/>
      <c r="P119" s="158"/>
      <c r="Q119" s="158"/>
      <c r="R119" s="212"/>
      <c r="S119" s="212"/>
      <c r="T119" s="212"/>
      <c r="U119" s="212"/>
      <c r="V119" s="212"/>
      <c r="W119" s="212"/>
      <c r="X119" s="199"/>
      <c r="Y119" s="199"/>
      <c r="Z119" s="199"/>
      <c r="AA119" s="199"/>
      <c r="AB119" s="199"/>
      <c r="AC119" s="199"/>
      <c r="AD119" s="199"/>
      <c r="AE119" s="158"/>
      <c r="AF119" s="158"/>
      <c r="AG119" s="212"/>
      <c r="AH119" s="212"/>
      <c r="AI119" s="212"/>
      <c r="AJ119" s="212"/>
      <c r="AK119" s="212"/>
      <c r="AL119" s="212"/>
      <c r="AM119" s="156"/>
      <c r="AN119" s="156"/>
      <c r="AO119" s="156"/>
      <c r="AP119" s="156"/>
      <c r="AQ119" s="156"/>
      <c r="AR119" s="243"/>
      <c r="AS119" s="36" t="s">
        <v>175</v>
      </c>
      <c r="AT119" s="36" t="s">
        <v>175</v>
      </c>
      <c r="AU119" s="36" t="s">
        <v>175</v>
      </c>
      <c r="AV119" s="36" t="s">
        <v>175</v>
      </c>
      <c r="AW119" s="36" t="s">
        <v>175</v>
      </c>
      <c r="AX119" s="36" t="s">
        <v>175</v>
      </c>
      <c r="AY119" s="36" t="s">
        <v>175</v>
      </c>
      <c r="AZ119" s="36" t="s">
        <v>175</v>
      </c>
      <c r="BA119" s="96">
        <f>AS9-O9</f>
        <v>0</v>
      </c>
    </row>
    <row r="120" spans="1:53" s="39" customFormat="1" ht="88.5" customHeight="1" x14ac:dyDescent="0.25">
      <c r="A120" s="170"/>
      <c r="B120" s="210"/>
      <c r="C120" s="206"/>
      <c r="D120" s="35" t="s">
        <v>206</v>
      </c>
      <c r="E120" s="35" t="s">
        <v>34</v>
      </c>
      <c r="F120" s="35">
        <v>12.5</v>
      </c>
      <c r="G120" s="40" t="s">
        <v>118</v>
      </c>
      <c r="H120" s="36">
        <v>2267</v>
      </c>
      <c r="I120" s="36">
        <f>F120*H120</f>
        <v>28337.5</v>
      </c>
      <c r="J120" s="35" t="s">
        <v>125</v>
      </c>
      <c r="K120" s="35">
        <v>1.59</v>
      </c>
      <c r="L120" s="36">
        <f t="shared" si="29"/>
        <v>45056.625</v>
      </c>
      <c r="M120" s="199"/>
      <c r="N120" s="199"/>
      <c r="O120" s="199"/>
      <c r="P120" s="158"/>
      <c r="Q120" s="158"/>
      <c r="R120" s="212"/>
      <c r="S120" s="212"/>
      <c r="T120" s="212"/>
      <c r="U120" s="212"/>
      <c r="V120" s="212"/>
      <c r="W120" s="212"/>
      <c r="X120" s="199"/>
      <c r="Y120" s="199"/>
      <c r="Z120" s="199"/>
      <c r="AA120" s="199"/>
      <c r="AB120" s="199"/>
      <c r="AC120" s="199"/>
      <c r="AD120" s="199"/>
      <c r="AE120" s="158"/>
      <c r="AF120" s="158"/>
      <c r="AG120" s="212"/>
      <c r="AH120" s="212"/>
      <c r="AI120" s="212"/>
      <c r="AJ120" s="212"/>
      <c r="AK120" s="212"/>
      <c r="AL120" s="212"/>
      <c r="AM120" s="156"/>
      <c r="AN120" s="156"/>
      <c r="AO120" s="156"/>
      <c r="AP120" s="156"/>
      <c r="AQ120" s="156"/>
      <c r="AR120" s="243"/>
      <c r="AS120" s="36" t="s">
        <v>175</v>
      </c>
      <c r="AT120" s="36" t="s">
        <v>175</v>
      </c>
      <c r="AU120" s="36" t="s">
        <v>175</v>
      </c>
      <c r="AV120" s="36" t="s">
        <v>175</v>
      </c>
      <c r="AW120" s="36" t="s">
        <v>175</v>
      </c>
      <c r="AX120" s="36" t="s">
        <v>175</v>
      </c>
      <c r="AY120" s="36" t="s">
        <v>175</v>
      </c>
      <c r="AZ120" s="36" t="s">
        <v>175</v>
      </c>
      <c r="BA120" s="96">
        <f>AS9-O9</f>
        <v>0</v>
      </c>
    </row>
    <row r="121" spans="1:53" s="39" customFormat="1" ht="54" customHeight="1" x14ac:dyDescent="0.25">
      <c r="A121" s="170"/>
      <c r="B121" s="210"/>
      <c r="C121" s="206"/>
      <c r="D121" s="35" t="s">
        <v>132</v>
      </c>
      <c r="E121" s="35" t="s">
        <v>207</v>
      </c>
      <c r="F121" s="35">
        <v>1</v>
      </c>
      <c r="G121" s="40" t="s">
        <v>208</v>
      </c>
      <c r="H121" s="36">
        <v>5500</v>
      </c>
      <c r="I121" s="36">
        <f>H121</f>
        <v>5500</v>
      </c>
      <c r="J121" s="35" t="s">
        <v>36</v>
      </c>
      <c r="K121" s="35" t="s">
        <v>36</v>
      </c>
      <c r="L121" s="36">
        <f>H121</f>
        <v>5500</v>
      </c>
      <c r="M121" s="199"/>
      <c r="N121" s="199"/>
      <c r="O121" s="199"/>
      <c r="P121" s="154"/>
      <c r="Q121" s="154"/>
      <c r="R121" s="213"/>
      <c r="S121" s="213"/>
      <c r="T121" s="213"/>
      <c r="U121" s="213"/>
      <c r="V121" s="213"/>
      <c r="W121" s="213"/>
      <c r="X121" s="199"/>
      <c r="Y121" s="199"/>
      <c r="Z121" s="199"/>
      <c r="AA121" s="199"/>
      <c r="AB121" s="199"/>
      <c r="AC121" s="199"/>
      <c r="AD121" s="199"/>
      <c r="AE121" s="154"/>
      <c r="AF121" s="154"/>
      <c r="AG121" s="213"/>
      <c r="AH121" s="213"/>
      <c r="AI121" s="213"/>
      <c r="AJ121" s="213"/>
      <c r="AK121" s="213"/>
      <c r="AL121" s="213"/>
      <c r="AM121" s="157"/>
      <c r="AN121" s="157"/>
      <c r="AO121" s="157"/>
      <c r="AP121" s="157"/>
      <c r="AQ121" s="157"/>
      <c r="AR121" s="244"/>
      <c r="AS121" s="36" t="s">
        <v>175</v>
      </c>
      <c r="AT121" s="36" t="s">
        <v>175</v>
      </c>
      <c r="AU121" s="36" t="s">
        <v>175</v>
      </c>
      <c r="AV121" s="36" t="s">
        <v>175</v>
      </c>
      <c r="AW121" s="36" t="s">
        <v>175</v>
      </c>
      <c r="AX121" s="36" t="s">
        <v>175</v>
      </c>
      <c r="AY121" s="36" t="s">
        <v>175</v>
      </c>
      <c r="AZ121" s="36" t="s">
        <v>175</v>
      </c>
      <c r="BA121" s="96">
        <f>AS9-O9</f>
        <v>0</v>
      </c>
    </row>
    <row r="122" spans="1:53" ht="82.5" customHeight="1" x14ac:dyDescent="0.25">
      <c r="A122" s="201">
        <v>30</v>
      </c>
      <c r="B122" s="207" t="s">
        <v>209</v>
      </c>
      <c r="C122" s="200" t="s">
        <v>210</v>
      </c>
      <c r="D122" s="41" t="s">
        <v>211</v>
      </c>
      <c r="E122" s="41" t="s">
        <v>37</v>
      </c>
      <c r="F122" s="41">
        <v>2</v>
      </c>
      <c r="G122" s="42" t="s">
        <v>212</v>
      </c>
      <c r="H122" s="32">
        <v>40670</v>
      </c>
      <c r="I122" s="32">
        <f t="shared" ref="I122:I123" si="31">F122*H122</f>
        <v>81340</v>
      </c>
      <c r="J122" s="41" t="s">
        <v>67</v>
      </c>
      <c r="K122" s="41">
        <v>1.04</v>
      </c>
      <c r="L122" s="32">
        <f t="shared" ref="L122" si="32">I122*K122</f>
        <v>84593.600000000006</v>
      </c>
      <c r="M122" s="159">
        <f>SUM(L122:L126)</f>
        <v>283784.62</v>
      </c>
      <c r="N122" s="159">
        <f>M122*0.2</f>
        <v>56756.923999999999</v>
      </c>
      <c r="O122" s="159">
        <f>SUM(M122:N126)</f>
        <v>340541.54399999999</v>
      </c>
      <c r="P122" s="153">
        <f>O122*R122*S122*T122</f>
        <v>404805.01344895188</v>
      </c>
      <c r="Q122" s="153">
        <f>SUM(X122:AC126)</f>
        <v>446297.12252245599</v>
      </c>
      <c r="R122" s="245">
        <v>1.0680000000000001</v>
      </c>
      <c r="S122" s="245">
        <v>1.056</v>
      </c>
      <c r="T122" s="245">
        <v>1.054</v>
      </c>
      <c r="U122" s="245">
        <v>1.0509999999999999</v>
      </c>
      <c r="V122" s="245">
        <v>1.0489999999999999</v>
      </c>
      <c r="W122" s="245">
        <v>1.0469999999999999</v>
      </c>
      <c r="X122" s="153">
        <v>0</v>
      </c>
      <c r="Y122" s="159">
        <v>0</v>
      </c>
      <c r="Z122" s="159">
        <v>0</v>
      </c>
      <c r="AA122" s="159">
        <v>0</v>
      </c>
      <c r="AB122" s="159">
        <f>O122*R122*S122*T122*U122*V122</f>
        <v>446297.12252245599</v>
      </c>
      <c r="AC122" s="159">
        <v>0</v>
      </c>
      <c r="AD122" s="159" t="s">
        <v>175</v>
      </c>
      <c r="AE122" s="159" t="s">
        <v>175</v>
      </c>
      <c r="AF122" s="159" t="s">
        <v>175</v>
      </c>
      <c r="AG122" s="159" t="s">
        <v>175</v>
      </c>
      <c r="AH122" s="159" t="s">
        <v>175</v>
      </c>
      <c r="AI122" s="159" t="s">
        <v>175</v>
      </c>
      <c r="AJ122" s="159" t="s">
        <v>175</v>
      </c>
      <c r="AK122" s="159" t="s">
        <v>175</v>
      </c>
      <c r="AL122" s="159" t="s">
        <v>175</v>
      </c>
      <c r="AM122" s="159" t="s">
        <v>175</v>
      </c>
      <c r="AN122" s="159" t="s">
        <v>175</v>
      </c>
      <c r="AO122" s="159" t="s">
        <v>175</v>
      </c>
      <c r="AP122" s="159" t="s">
        <v>175</v>
      </c>
      <c r="AQ122" s="159" t="s">
        <v>175</v>
      </c>
      <c r="AR122" s="159" t="s">
        <v>175</v>
      </c>
      <c r="AS122" s="32" t="s">
        <v>175</v>
      </c>
      <c r="AT122" s="32" t="s">
        <v>175</v>
      </c>
      <c r="AU122" s="32" t="s">
        <v>175</v>
      </c>
      <c r="AV122" s="32" t="s">
        <v>175</v>
      </c>
      <c r="AW122" s="32" t="s">
        <v>175</v>
      </c>
      <c r="AX122" s="32" t="s">
        <v>175</v>
      </c>
      <c r="AY122" s="32" t="s">
        <v>175</v>
      </c>
      <c r="AZ122" s="32" t="s">
        <v>175</v>
      </c>
      <c r="BA122" s="241">
        <f>AS9-O9</f>
        <v>0</v>
      </c>
    </row>
    <row r="123" spans="1:53" ht="41.25" customHeight="1" x14ac:dyDescent="0.25">
      <c r="A123" s="201"/>
      <c r="B123" s="207"/>
      <c r="C123" s="200"/>
      <c r="D123" s="41" t="s">
        <v>152</v>
      </c>
      <c r="E123" s="41" t="s">
        <v>41</v>
      </c>
      <c r="F123" s="41">
        <v>1</v>
      </c>
      <c r="G123" s="31" t="s">
        <v>98</v>
      </c>
      <c r="H123" s="41">
        <v>29099</v>
      </c>
      <c r="I123" s="32">
        <f t="shared" si="31"/>
        <v>29099</v>
      </c>
      <c r="J123" s="41" t="s">
        <v>36</v>
      </c>
      <c r="K123" s="41" t="s">
        <v>36</v>
      </c>
      <c r="L123" s="32">
        <f>I123</f>
        <v>29099</v>
      </c>
      <c r="M123" s="159"/>
      <c r="N123" s="159"/>
      <c r="O123" s="159"/>
      <c r="P123" s="158"/>
      <c r="Q123" s="158"/>
      <c r="R123" s="246"/>
      <c r="S123" s="246"/>
      <c r="T123" s="246"/>
      <c r="U123" s="246"/>
      <c r="V123" s="246"/>
      <c r="W123" s="246"/>
      <c r="X123" s="158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32" t="s">
        <v>175</v>
      </c>
      <c r="AT123" s="32" t="s">
        <v>175</v>
      </c>
      <c r="AU123" s="32" t="s">
        <v>175</v>
      </c>
      <c r="AV123" s="32" t="s">
        <v>175</v>
      </c>
      <c r="AW123" s="32" t="s">
        <v>175</v>
      </c>
      <c r="AX123" s="32" t="s">
        <v>175</v>
      </c>
      <c r="AY123" s="32" t="s">
        <v>175</v>
      </c>
      <c r="AZ123" s="32" t="s">
        <v>175</v>
      </c>
      <c r="BA123" s="241"/>
    </row>
    <row r="124" spans="1:53" ht="72.75" customHeight="1" x14ac:dyDescent="0.25">
      <c r="A124" s="201"/>
      <c r="B124" s="207"/>
      <c r="C124" s="200"/>
      <c r="D124" s="41" t="s">
        <v>213</v>
      </c>
      <c r="E124" s="41" t="s">
        <v>37</v>
      </c>
      <c r="F124" s="41">
        <v>2</v>
      </c>
      <c r="G124" s="42" t="s">
        <v>214</v>
      </c>
      <c r="H124" s="41">
        <v>51394</v>
      </c>
      <c r="I124" s="32">
        <f>H124*F124</f>
        <v>102788</v>
      </c>
      <c r="J124" s="41" t="s">
        <v>92</v>
      </c>
      <c r="K124" s="41">
        <v>1.05</v>
      </c>
      <c r="L124" s="32">
        <f t="shared" ref="L124:L130" si="33">I124*K124</f>
        <v>107927.40000000001</v>
      </c>
      <c r="M124" s="159"/>
      <c r="N124" s="159"/>
      <c r="O124" s="159"/>
      <c r="P124" s="158"/>
      <c r="Q124" s="158"/>
      <c r="R124" s="246"/>
      <c r="S124" s="246"/>
      <c r="T124" s="246"/>
      <c r="U124" s="246"/>
      <c r="V124" s="246"/>
      <c r="W124" s="246"/>
      <c r="X124" s="158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32" t="s">
        <v>175</v>
      </c>
      <c r="AT124" s="32" t="s">
        <v>175</v>
      </c>
      <c r="AU124" s="32" t="s">
        <v>175</v>
      </c>
      <c r="AV124" s="32" t="s">
        <v>175</v>
      </c>
      <c r="AW124" s="32" t="s">
        <v>175</v>
      </c>
      <c r="AX124" s="32" t="s">
        <v>175</v>
      </c>
      <c r="AY124" s="32" t="s">
        <v>175</v>
      </c>
      <c r="AZ124" s="32" t="s">
        <v>175</v>
      </c>
      <c r="BA124" s="241"/>
    </row>
    <row r="125" spans="1:53" ht="64.5" customHeight="1" x14ac:dyDescent="0.25">
      <c r="A125" s="201"/>
      <c r="B125" s="207"/>
      <c r="C125" s="200"/>
      <c r="D125" s="41" t="s">
        <v>87</v>
      </c>
      <c r="E125" s="41" t="s">
        <v>37</v>
      </c>
      <c r="F125" s="41">
        <v>9</v>
      </c>
      <c r="G125" s="42" t="s">
        <v>215</v>
      </c>
      <c r="H125" s="41">
        <v>5518</v>
      </c>
      <c r="I125" s="32">
        <f t="shared" ref="I125:I138" si="34">F125*H125</f>
        <v>49662</v>
      </c>
      <c r="J125" s="41" t="s">
        <v>59</v>
      </c>
      <c r="K125" s="41">
        <v>1.03</v>
      </c>
      <c r="L125" s="32">
        <f t="shared" si="33"/>
        <v>51151.86</v>
      </c>
      <c r="M125" s="159"/>
      <c r="N125" s="159"/>
      <c r="O125" s="159"/>
      <c r="P125" s="158"/>
      <c r="Q125" s="158"/>
      <c r="R125" s="246"/>
      <c r="S125" s="246"/>
      <c r="T125" s="246"/>
      <c r="U125" s="246"/>
      <c r="V125" s="246"/>
      <c r="W125" s="246"/>
      <c r="X125" s="158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32" t="s">
        <v>175</v>
      </c>
      <c r="AT125" s="32" t="s">
        <v>175</v>
      </c>
      <c r="AU125" s="32" t="s">
        <v>175</v>
      </c>
      <c r="AV125" s="32" t="s">
        <v>175</v>
      </c>
      <c r="AW125" s="32" t="s">
        <v>175</v>
      </c>
      <c r="AX125" s="32" t="s">
        <v>175</v>
      </c>
      <c r="AY125" s="32" t="s">
        <v>175</v>
      </c>
      <c r="AZ125" s="32" t="s">
        <v>175</v>
      </c>
      <c r="BA125" s="241"/>
    </row>
    <row r="126" spans="1:53" ht="60" customHeight="1" x14ac:dyDescent="0.25">
      <c r="A126" s="201"/>
      <c r="B126" s="207"/>
      <c r="C126" s="200"/>
      <c r="D126" s="41" t="s">
        <v>155</v>
      </c>
      <c r="E126" s="41" t="s">
        <v>37</v>
      </c>
      <c r="F126" s="41">
        <v>9</v>
      </c>
      <c r="G126" s="42" t="s">
        <v>216</v>
      </c>
      <c r="H126" s="41">
        <v>1188</v>
      </c>
      <c r="I126" s="32">
        <f t="shared" si="34"/>
        <v>10692</v>
      </c>
      <c r="J126" s="41" t="s">
        <v>59</v>
      </c>
      <c r="K126" s="41">
        <v>1.03</v>
      </c>
      <c r="L126" s="32">
        <f t="shared" si="33"/>
        <v>11012.76</v>
      </c>
      <c r="M126" s="159"/>
      <c r="N126" s="159"/>
      <c r="O126" s="159"/>
      <c r="P126" s="154"/>
      <c r="Q126" s="154"/>
      <c r="R126" s="247"/>
      <c r="S126" s="247"/>
      <c r="T126" s="247"/>
      <c r="U126" s="247"/>
      <c r="V126" s="247"/>
      <c r="W126" s="247"/>
      <c r="X126" s="154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32" t="s">
        <v>175</v>
      </c>
      <c r="AT126" s="32" t="s">
        <v>175</v>
      </c>
      <c r="AU126" s="32" t="s">
        <v>175</v>
      </c>
      <c r="AV126" s="32" t="s">
        <v>175</v>
      </c>
      <c r="AW126" s="32" t="s">
        <v>175</v>
      </c>
      <c r="AX126" s="32" t="s">
        <v>175</v>
      </c>
      <c r="AY126" s="32" t="s">
        <v>175</v>
      </c>
      <c r="AZ126" s="32" t="s">
        <v>175</v>
      </c>
      <c r="BA126" s="241"/>
    </row>
    <row r="127" spans="1:53" s="39" customFormat="1" ht="37.5" customHeight="1" x14ac:dyDescent="0.25">
      <c r="A127" s="180">
        <v>31</v>
      </c>
      <c r="B127" s="171" t="s">
        <v>233</v>
      </c>
      <c r="C127" s="174">
        <v>6</v>
      </c>
      <c r="D127" s="35" t="s">
        <v>38</v>
      </c>
      <c r="E127" s="35" t="s">
        <v>37</v>
      </c>
      <c r="F127" s="35">
        <v>0</v>
      </c>
      <c r="G127" s="57" t="s">
        <v>39</v>
      </c>
      <c r="H127" s="36">
        <v>1663</v>
      </c>
      <c r="I127" s="36">
        <f t="shared" si="34"/>
        <v>0</v>
      </c>
      <c r="J127" s="36" t="s">
        <v>54</v>
      </c>
      <c r="K127" s="37">
        <v>1.1000000000000001</v>
      </c>
      <c r="L127" s="36">
        <f t="shared" si="33"/>
        <v>0</v>
      </c>
      <c r="M127" s="155">
        <f>SUM(L127:L132)</f>
        <v>1189.3416</v>
      </c>
      <c r="N127" s="155">
        <f>M127*0.2</f>
        <v>237.86832000000001</v>
      </c>
      <c r="O127" s="155">
        <v>1427.20992</v>
      </c>
      <c r="P127" s="153">
        <v>1589.5379218809601</v>
      </c>
      <c r="Q127" s="153">
        <v>1589.5379218809601</v>
      </c>
      <c r="R127" s="161">
        <v>1.0740000000000001</v>
      </c>
      <c r="S127" s="161">
        <v>1.0369999999999999</v>
      </c>
      <c r="T127" s="161">
        <v>1.0389999999999999</v>
      </c>
      <c r="U127" s="161">
        <v>1.0509999999999999</v>
      </c>
      <c r="V127" s="161">
        <v>1.0489999999999999</v>
      </c>
      <c r="W127" s="161">
        <v>1.0469999999999999</v>
      </c>
      <c r="X127" s="155">
        <v>0</v>
      </c>
      <c r="Y127" s="155">
        <v>1589.5379218809601</v>
      </c>
      <c r="Z127" s="155">
        <v>0</v>
      </c>
      <c r="AA127" s="155">
        <v>0</v>
      </c>
      <c r="AB127" s="155">
        <v>0</v>
      </c>
      <c r="AC127" s="155">
        <v>0</v>
      </c>
      <c r="AD127" s="155">
        <f>SUM(L127:L132)*1.2</f>
        <v>1427.20992</v>
      </c>
      <c r="AE127" s="153">
        <f>AD127*AG127*AH127</f>
        <v>1528.8501016627201</v>
      </c>
      <c r="AF127" s="153">
        <f>AM127+AN127+AO127+AP127+AQ127+AR127</f>
        <v>1528.8501016627201</v>
      </c>
      <c r="AG127" s="161">
        <v>1.032</v>
      </c>
      <c r="AH127" s="161">
        <v>1.038</v>
      </c>
      <c r="AI127" s="161">
        <v>1.07</v>
      </c>
      <c r="AJ127" s="161">
        <v>1.123</v>
      </c>
      <c r="AK127" s="161">
        <v>1.0589999999999999</v>
      </c>
      <c r="AL127" s="161">
        <v>1.0509999999999999</v>
      </c>
      <c r="AM127" s="161">
        <v>0</v>
      </c>
      <c r="AN127" s="155">
        <f>AD127*AG127*AH127</f>
        <v>1528.8501016627201</v>
      </c>
      <c r="AO127" s="161">
        <v>0</v>
      </c>
      <c r="AP127" s="161">
        <v>0</v>
      </c>
      <c r="AQ127" s="161">
        <v>0</v>
      </c>
      <c r="AR127" s="161">
        <v>0</v>
      </c>
      <c r="AS127" s="161">
        <f>SUM(L127:L132)*1.2</f>
        <v>1427.20992</v>
      </c>
      <c r="AT127" s="155">
        <v>1907.4455062571519</v>
      </c>
      <c r="AU127" s="161">
        <v>1.0740000000000001</v>
      </c>
      <c r="AV127" s="161">
        <v>1.0369999999999999</v>
      </c>
      <c r="AW127" s="161">
        <v>1.0389999999999999</v>
      </c>
      <c r="AX127" s="155">
        <v>0</v>
      </c>
      <c r="AY127" s="155">
        <v>1907.4455062571519</v>
      </c>
      <c r="AZ127" s="155">
        <v>0</v>
      </c>
      <c r="BA127" s="177">
        <f>AS9-O9</f>
        <v>0</v>
      </c>
    </row>
    <row r="128" spans="1:53" s="39" customFormat="1" ht="98.25" customHeight="1" x14ac:dyDescent="0.25">
      <c r="A128" s="181"/>
      <c r="B128" s="172"/>
      <c r="C128" s="175"/>
      <c r="D128" s="35" t="s">
        <v>42</v>
      </c>
      <c r="E128" s="35" t="s">
        <v>34</v>
      </c>
      <c r="F128" s="35">
        <v>0.29199999999999998</v>
      </c>
      <c r="G128" s="40" t="s">
        <v>43</v>
      </c>
      <c r="H128" s="36">
        <v>699</v>
      </c>
      <c r="I128" s="36">
        <f t="shared" si="34"/>
        <v>204.10799999999998</v>
      </c>
      <c r="J128" s="36" t="s">
        <v>55</v>
      </c>
      <c r="K128" s="37">
        <v>1.05</v>
      </c>
      <c r="L128" s="36">
        <f t="shared" si="33"/>
        <v>214.31339999999997</v>
      </c>
      <c r="M128" s="156"/>
      <c r="N128" s="156"/>
      <c r="O128" s="156"/>
      <c r="P128" s="158"/>
      <c r="Q128" s="158"/>
      <c r="R128" s="162"/>
      <c r="S128" s="162"/>
      <c r="T128" s="162"/>
      <c r="U128" s="162"/>
      <c r="V128" s="162"/>
      <c r="W128" s="162"/>
      <c r="X128" s="156"/>
      <c r="Y128" s="156"/>
      <c r="Z128" s="156"/>
      <c r="AA128" s="156"/>
      <c r="AB128" s="156"/>
      <c r="AC128" s="156"/>
      <c r="AD128" s="156"/>
      <c r="AE128" s="158"/>
      <c r="AF128" s="158"/>
      <c r="AG128" s="162"/>
      <c r="AH128" s="162"/>
      <c r="AI128" s="162"/>
      <c r="AJ128" s="162"/>
      <c r="AK128" s="162"/>
      <c r="AL128" s="162"/>
      <c r="AM128" s="162"/>
      <c r="AN128" s="156"/>
      <c r="AO128" s="162"/>
      <c r="AP128" s="162"/>
      <c r="AQ128" s="162"/>
      <c r="AR128" s="162"/>
      <c r="AS128" s="162"/>
      <c r="AT128" s="156"/>
      <c r="AU128" s="162"/>
      <c r="AV128" s="162"/>
      <c r="AW128" s="162"/>
      <c r="AX128" s="156"/>
      <c r="AY128" s="156"/>
      <c r="AZ128" s="156"/>
      <c r="BA128" s="178"/>
    </row>
    <row r="129" spans="1:53" s="39" customFormat="1" ht="66" customHeight="1" x14ac:dyDescent="0.25">
      <c r="A129" s="181"/>
      <c r="B129" s="172"/>
      <c r="C129" s="175"/>
      <c r="D129" s="35" t="s">
        <v>44</v>
      </c>
      <c r="E129" s="35" t="s">
        <v>45</v>
      </c>
      <c r="F129" s="35">
        <v>10.17</v>
      </c>
      <c r="G129" s="40" t="s">
        <v>46</v>
      </c>
      <c r="H129" s="36">
        <v>17</v>
      </c>
      <c r="I129" s="36">
        <f t="shared" si="34"/>
        <v>172.89</v>
      </c>
      <c r="J129" s="36" t="s">
        <v>55</v>
      </c>
      <c r="K129" s="37">
        <v>1.05</v>
      </c>
      <c r="L129" s="36">
        <f t="shared" si="33"/>
        <v>181.53449999999998</v>
      </c>
      <c r="M129" s="156"/>
      <c r="N129" s="156"/>
      <c r="O129" s="156"/>
      <c r="P129" s="158"/>
      <c r="Q129" s="158"/>
      <c r="R129" s="162"/>
      <c r="S129" s="162"/>
      <c r="T129" s="162"/>
      <c r="U129" s="162"/>
      <c r="V129" s="162"/>
      <c r="W129" s="162"/>
      <c r="X129" s="156"/>
      <c r="Y129" s="156"/>
      <c r="Z129" s="156"/>
      <c r="AA129" s="156"/>
      <c r="AB129" s="156"/>
      <c r="AC129" s="156"/>
      <c r="AD129" s="156"/>
      <c r="AE129" s="158"/>
      <c r="AF129" s="158"/>
      <c r="AG129" s="162"/>
      <c r="AH129" s="162"/>
      <c r="AI129" s="162"/>
      <c r="AJ129" s="162"/>
      <c r="AK129" s="162"/>
      <c r="AL129" s="162"/>
      <c r="AM129" s="162"/>
      <c r="AN129" s="156"/>
      <c r="AO129" s="162"/>
      <c r="AP129" s="162"/>
      <c r="AQ129" s="162"/>
      <c r="AR129" s="162"/>
      <c r="AS129" s="162"/>
      <c r="AT129" s="156"/>
      <c r="AU129" s="162"/>
      <c r="AV129" s="162"/>
      <c r="AW129" s="162"/>
      <c r="AX129" s="156"/>
      <c r="AY129" s="156"/>
      <c r="AZ129" s="156"/>
      <c r="BA129" s="178"/>
    </row>
    <row r="130" spans="1:53" s="39" customFormat="1" ht="90.75" customHeight="1" x14ac:dyDescent="0.25">
      <c r="A130" s="181"/>
      <c r="B130" s="172"/>
      <c r="C130" s="175"/>
      <c r="D130" s="35" t="s">
        <v>57</v>
      </c>
      <c r="E130" s="35" t="s">
        <v>34</v>
      </c>
      <c r="F130" s="35">
        <v>1.1379999999999999</v>
      </c>
      <c r="G130" s="40" t="s">
        <v>58</v>
      </c>
      <c r="H130" s="36">
        <v>413</v>
      </c>
      <c r="I130" s="36">
        <f t="shared" si="34"/>
        <v>469.99399999999997</v>
      </c>
      <c r="J130" s="36" t="s">
        <v>55</v>
      </c>
      <c r="K130" s="37">
        <v>1.05</v>
      </c>
      <c r="L130" s="36">
        <f t="shared" si="33"/>
        <v>493.49369999999999</v>
      </c>
      <c r="M130" s="156"/>
      <c r="N130" s="156"/>
      <c r="O130" s="156"/>
      <c r="P130" s="158"/>
      <c r="Q130" s="158"/>
      <c r="R130" s="162"/>
      <c r="S130" s="162"/>
      <c r="T130" s="162"/>
      <c r="U130" s="162"/>
      <c r="V130" s="162"/>
      <c r="W130" s="162"/>
      <c r="X130" s="156"/>
      <c r="Y130" s="156"/>
      <c r="Z130" s="156"/>
      <c r="AA130" s="156"/>
      <c r="AB130" s="156"/>
      <c r="AC130" s="156"/>
      <c r="AD130" s="156"/>
      <c r="AE130" s="158"/>
      <c r="AF130" s="158"/>
      <c r="AG130" s="162"/>
      <c r="AH130" s="162"/>
      <c r="AI130" s="162"/>
      <c r="AJ130" s="162"/>
      <c r="AK130" s="162"/>
      <c r="AL130" s="162"/>
      <c r="AM130" s="162"/>
      <c r="AN130" s="156"/>
      <c r="AO130" s="162"/>
      <c r="AP130" s="162"/>
      <c r="AQ130" s="162"/>
      <c r="AR130" s="162"/>
      <c r="AS130" s="162"/>
      <c r="AT130" s="156"/>
      <c r="AU130" s="162"/>
      <c r="AV130" s="162"/>
      <c r="AW130" s="162"/>
      <c r="AX130" s="156"/>
      <c r="AY130" s="156"/>
      <c r="AZ130" s="156"/>
      <c r="BA130" s="178"/>
    </row>
    <row r="131" spans="1:53" s="39" customFormat="1" ht="76.5" customHeight="1" x14ac:dyDescent="0.25">
      <c r="A131" s="181"/>
      <c r="B131" s="172"/>
      <c r="C131" s="175"/>
      <c r="D131" s="35" t="s">
        <v>48</v>
      </c>
      <c r="E131" s="35" t="s">
        <v>49</v>
      </c>
      <c r="F131" s="35">
        <v>0</v>
      </c>
      <c r="G131" s="40" t="s">
        <v>51</v>
      </c>
      <c r="H131" s="36">
        <v>187</v>
      </c>
      <c r="I131" s="36">
        <f t="shared" si="34"/>
        <v>0</v>
      </c>
      <c r="J131" s="36" t="s">
        <v>36</v>
      </c>
      <c r="K131" s="37" t="s">
        <v>36</v>
      </c>
      <c r="L131" s="36">
        <f>I131</f>
        <v>0</v>
      </c>
      <c r="M131" s="156"/>
      <c r="N131" s="156"/>
      <c r="O131" s="156"/>
      <c r="P131" s="158"/>
      <c r="Q131" s="158"/>
      <c r="R131" s="162"/>
      <c r="S131" s="162"/>
      <c r="T131" s="162"/>
      <c r="U131" s="162"/>
      <c r="V131" s="162"/>
      <c r="W131" s="162"/>
      <c r="X131" s="156"/>
      <c r="Y131" s="156"/>
      <c r="Z131" s="156"/>
      <c r="AA131" s="156"/>
      <c r="AB131" s="156"/>
      <c r="AC131" s="156"/>
      <c r="AD131" s="156"/>
      <c r="AE131" s="158"/>
      <c r="AF131" s="158"/>
      <c r="AG131" s="162"/>
      <c r="AH131" s="162"/>
      <c r="AI131" s="162"/>
      <c r="AJ131" s="162"/>
      <c r="AK131" s="162"/>
      <c r="AL131" s="162"/>
      <c r="AM131" s="162"/>
      <c r="AN131" s="156"/>
      <c r="AO131" s="162"/>
      <c r="AP131" s="162"/>
      <c r="AQ131" s="162"/>
      <c r="AR131" s="162"/>
      <c r="AS131" s="162"/>
      <c r="AT131" s="156"/>
      <c r="AU131" s="162"/>
      <c r="AV131" s="162"/>
      <c r="AW131" s="162"/>
      <c r="AX131" s="156"/>
      <c r="AY131" s="156"/>
      <c r="AZ131" s="156"/>
      <c r="BA131" s="178"/>
    </row>
    <row r="132" spans="1:53" s="39" customFormat="1" ht="30" x14ac:dyDescent="0.25">
      <c r="A132" s="182"/>
      <c r="B132" s="173"/>
      <c r="C132" s="176"/>
      <c r="D132" s="35" t="s">
        <v>40</v>
      </c>
      <c r="E132" s="35" t="s">
        <v>41</v>
      </c>
      <c r="F132" s="35">
        <v>1</v>
      </c>
      <c r="G132" s="40" t="s">
        <v>232</v>
      </c>
      <c r="H132" s="36">
        <v>300</v>
      </c>
      <c r="I132" s="36">
        <f t="shared" si="34"/>
        <v>300</v>
      </c>
      <c r="J132" s="36" t="s">
        <v>36</v>
      </c>
      <c r="K132" s="36" t="s">
        <v>36</v>
      </c>
      <c r="L132" s="36">
        <f>I132</f>
        <v>300</v>
      </c>
      <c r="M132" s="157"/>
      <c r="N132" s="157"/>
      <c r="O132" s="157"/>
      <c r="P132" s="154"/>
      <c r="Q132" s="154"/>
      <c r="R132" s="163"/>
      <c r="S132" s="163"/>
      <c r="T132" s="163"/>
      <c r="U132" s="163"/>
      <c r="V132" s="163"/>
      <c r="W132" s="163"/>
      <c r="X132" s="157"/>
      <c r="Y132" s="157"/>
      <c r="Z132" s="157"/>
      <c r="AA132" s="157"/>
      <c r="AB132" s="157"/>
      <c r="AC132" s="157"/>
      <c r="AD132" s="157"/>
      <c r="AE132" s="154"/>
      <c r="AF132" s="154"/>
      <c r="AG132" s="163"/>
      <c r="AH132" s="163"/>
      <c r="AI132" s="163"/>
      <c r="AJ132" s="163"/>
      <c r="AK132" s="163"/>
      <c r="AL132" s="163"/>
      <c r="AM132" s="163"/>
      <c r="AN132" s="157"/>
      <c r="AO132" s="163"/>
      <c r="AP132" s="163"/>
      <c r="AQ132" s="163"/>
      <c r="AR132" s="163"/>
      <c r="AS132" s="163"/>
      <c r="AT132" s="157"/>
      <c r="AU132" s="163"/>
      <c r="AV132" s="163"/>
      <c r="AW132" s="163"/>
      <c r="AX132" s="157"/>
      <c r="AY132" s="157"/>
      <c r="AZ132" s="157"/>
      <c r="BA132" s="179"/>
    </row>
    <row r="133" spans="1:53" s="39" customFormat="1" x14ac:dyDescent="0.25">
      <c r="A133" s="170">
        <v>32</v>
      </c>
      <c r="B133" s="171" t="s">
        <v>231</v>
      </c>
      <c r="C133" s="174">
        <v>6</v>
      </c>
      <c r="D133" s="35" t="s">
        <v>38</v>
      </c>
      <c r="E133" s="35" t="s">
        <v>37</v>
      </c>
      <c r="F133" s="35">
        <v>1</v>
      </c>
      <c r="G133" s="57" t="s">
        <v>39</v>
      </c>
      <c r="H133" s="36">
        <v>1663</v>
      </c>
      <c r="I133" s="36">
        <f t="shared" si="34"/>
        <v>1663</v>
      </c>
      <c r="J133" s="36" t="s">
        <v>54</v>
      </c>
      <c r="K133" s="37">
        <v>1.1000000000000001</v>
      </c>
      <c r="L133" s="36">
        <f>I133*K133</f>
        <v>1829.3000000000002</v>
      </c>
      <c r="M133" s="155">
        <f>SUM(L133:L138)</f>
        <v>2729.2070000000003</v>
      </c>
      <c r="N133" s="155">
        <f>M133*0.2</f>
        <v>545.84140000000014</v>
      </c>
      <c r="O133" s="155">
        <v>3275.0484000000001</v>
      </c>
      <c r="P133" s="153">
        <v>3647.5458549192003</v>
      </c>
      <c r="Q133" s="153">
        <v>3647.5458549192003</v>
      </c>
      <c r="R133" s="161">
        <v>1.0740000000000001</v>
      </c>
      <c r="S133" s="161">
        <v>1.0369999999999999</v>
      </c>
      <c r="T133" s="161">
        <v>1.0389999999999999</v>
      </c>
      <c r="U133" s="161">
        <v>1.0509999999999999</v>
      </c>
      <c r="V133" s="161">
        <v>1.0489999999999999</v>
      </c>
      <c r="W133" s="161">
        <v>1.0469999999999999</v>
      </c>
      <c r="X133" s="155">
        <v>0</v>
      </c>
      <c r="Y133" s="155">
        <v>3647.5458549192003</v>
      </c>
      <c r="Z133" s="155">
        <v>0</v>
      </c>
      <c r="AA133" s="155">
        <v>0</v>
      </c>
      <c r="AB133" s="155">
        <v>0</v>
      </c>
      <c r="AC133" s="155">
        <v>0</v>
      </c>
      <c r="AD133" s="155">
        <f>SUM(L133:L138)*1.2</f>
        <v>3275.0484000000001</v>
      </c>
      <c r="AE133" s="153">
        <f>AD133*AG133*AH133</f>
        <v>3508.2842468544004</v>
      </c>
      <c r="AF133" s="153">
        <f>AM133+AN133+AO133+AP133+AQ133+AR133</f>
        <v>3508.2842468544004</v>
      </c>
      <c r="AG133" s="161">
        <v>1.032</v>
      </c>
      <c r="AH133" s="161">
        <v>1.038</v>
      </c>
      <c r="AI133" s="198">
        <v>1.07</v>
      </c>
      <c r="AJ133" s="198">
        <v>1.123</v>
      </c>
      <c r="AK133" s="198">
        <v>1.0589999999999999</v>
      </c>
      <c r="AL133" s="198">
        <v>1.0509999999999999</v>
      </c>
      <c r="AM133" s="198">
        <v>0</v>
      </c>
      <c r="AN133" s="199">
        <f>AD133*AG133*AH133</f>
        <v>3508.2842468544004</v>
      </c>
      <c r="AO133" s="198">
        <v>0</v>
      </c>
      <c r="AP133" s="198">
        <v>0</v>
      </c>
      <c r="AQ133" s="198">
        <v>0</v>
      </c>
      <c r="AR133" s="198">
        <v>0</v>
      </c>
      <c r="AS133" s="206">
        <v>3275.0484000000001</v>
      </c>
      <c r="AT133" s="199">
        <v>4377.0550259030397</v>
      </c>
      <c r="AU133" s="198">
        <v>1.0740000000000001</v>
      </c>
      <c r="AV133" s="198">
        <v>1.0369999999999999</v>
      </c>
      <c r="AW133" s="161">
        <v>1.0389999999999999</v>
      </c>
      <c r="AX133" s="199">
        <v>0</v>
      </c>
      <c r="AY133" s="199">
        <v>4377.0550259030397</v>
      </c>
      <c r="AZ133" s="199">
        <v>0</v>
      </c>
      <c r="BA133" s="195">
        <f>AS9-O9</f>
        <v>0</v>
      </c>
    </row>
    <row r="134" spans="1:53" s="39" customFormat="1" ht="104.25" customHeight="1" x14ac:dyDescent="0.25">
      <c r="A134" s="170"/>
      <c r="B134" s="172"/>
      <c r="C134" s="175"/>
      <c r="D134" s="35" t="s">
        <v>42</v>
      </c>
      <c r="E134" s="35" t="s">
        <v>34</v>
      </c>
      <c r="F134" s="35">
        <v>0.187</v>
      </c>
      <c r="G134" s="40" t="s">
        <v>43</v>
      </c>
      <c r="H134" s="36">
        <v>699</v>
      </c>
      <c r="I134" s="36">
        <f t="shared" si="34"/>
        <v>130.71299999999999</v>
      </c>
      <c r="J134" s="36" t="s">
        <v>55</v>
      </c>
      <c r="K134" s="37">
        <v>1.05</v>
      </c>
      <c r="L134" s="36">
        <f>I134*K134</f>
        <v>137.24865</v>
      </c>
      <c r="M134" s="156"/>
      <c r="N134" s="156"/>
      <c r="O134" s="156"/>
      <c r="P134" s="158"/>
      <c r="Q134" s="158"/>
      <c r="R134" s="162"/>
      <c r="S134" s="162"/>
      <c r="T134" s="162"/>
      <c r="U134" s="162"/>
      <c r="V134" s="162"/>
      <c r="W134" s="162"/>
      <c r="X134" s="156"/>
      <c r="Y134" s="156"/>
      <c r="Z134" s="156"/>
      <c r="AA134" s="156"/>
      <c r="AB134" s="156"/>
      <c r="AC134" s="156"/>
      <c r="AD134" s="156"/>
      <c r="AE134" s="158"/>
      <c r="AF134" s="158"/>
      <c r="AG134" s="162"/>
      <c r="AH134" s="162"/>
      <c r="AI134" s="198"/>
      <c r="AJ134" s="198"/>
      <c r="AK134" s="198"/>
      <c r="AL134" s="198"/>
      <c r="AM134" s="198"/>
      <c r="AN134" s="199"/>
      <c r="AO134" s="198"/>
      <c r="AP134" s="198"/>
      <c r="AQ134" s="198"/>
      <c r="AR134" s="198"/>
      <c r="AS134" s="206"/>
      <c r="AT134" s="199"/>
      <c r="AU134" s="198"/>
      <c r="AV134" s="198"/>
      <c r="AW134" s="162"/>
      <c r="AX134" s="199"/>
      <c r="AY134" s="199"/>
      <c r="AZ134" s="199"/>
      <c r="BA134" s="195"/>
    </row>
    <row r="135" spans="1:53" s="39" customFormat="1" ht="66" customHeight="1" x14ac:dyDescent="0.25">
      <c r="A135" s="170"/>
      <c r="B135" s="172"/>
      <c r="C135" s="175"/>
      <c r="D135" s="35" t="s">
        <v>44</v>
      </c>
      <c r="E135" s="35" t="s">
        <v>45</v>
      </c>
      <c r="F135" s="35">
        <v>11.61</v>
      </c>
      <c r="G135" s="40" t="s">
        <v>46</v>
      </c>
      <c r="H135" s="36">
        <v>17</v>
      </c>
      <c r="I135" s="36">
        <f t="shared" si="34"/>
        <v>197.37</v>
      </c>
      <c r="J135" s="36" t="s">
        <v>55</v>
      </c>
      <c r="K135" s="37">
        <v>1.05</v>
      </c>
      <c r="L135" s="36">
        <f>I135*K135</f>
        <v>207.23850000000002</v>
      </c>
      <c r="M135" s="156"/>
      <c r="N135" s="156"/>
      <c r="O135" s="156"/>
      <c r="P135" s="158"/>
      <c r="Q135" s="158"/>
      <c r="R135" s="162"/>
      <c r="S135" s="162"/>
      <c r="T135" s="162"/>
      <c r="U135" s="162"/>
      <c r="V135" s="162"/>
      <c r="W135" s="162"/>
      <c r="X135" s="156"/>
      <c r="Y135" s="156"/>
      <c r="Z135" s="156"/>
      <c r="AA135" s="156"/>
      <c r="AB135" s="156"/>
      <c r="AC135" s="156"/>
      <c r="AD135" s="156"/>
      <c r="AE135" s="158"/>
      <c r="AF135" s="158"/>
      <c r="AG135" s="162"/>
      <c r="AH135" s="162"/>
      <c r="AI135" s="198"/>
      <c r="AJ135" s="198"/>
      <c r="AK135" s="198"/>
      <c r="AL135" s="198"/>
      <c r="AM135" s="198"/>
      <c r="AN135" s="199"/>
      <c r="AO135" s="198"/>
      <c r="AP135" s="198"/>
      <c r="AQ135" s="198"/>
      <c r="AR135" s="198"/>
      <c r="AS135" s="206"/>
      <c r="AT135" s="199"/>
      <c r="AU135" s="198"/>
      <c r="AV135" s="198"/>
      <c r="AW135" s="162"/>
      <c r="AX135" s="199"/>
      <c r="AY135" s="199"/>
      <c r="AZ135" s="199"/>
      <c r="BA135" s="195"/>
    </row>
    <row r="136" spans="1:53" s="39" customFormat="1" ht="31.5" customHeight="1" x14ac:dyDescent="0.25">
      <c r="A136" s="170"/>
      <c r="B136" s="172"/>
      <c r="C136" s="175"/>
      <c r="D136" s="35" t="s">
        <v>57</v>
      </c>
      <c r="E136" s="35" t="s">
        <v>34</v>
      </c>
      <c r="F136" s="35">
        <v>0.58899999999999997</v>
      </c>
      <c r="G136" s="40" t="s">
        <v>58</v>
      </c>
      <c r="H136" s="36">
        <v>413</v>
      </c>
      <c r="I136" s="36">
        <f t="shared" si="34"/>
        <v>243.25699999999998</v>
      </c>
      <c r="J136" s="36" t="s">
        <v>55</v>
      </c>
      <c r="K136" s="37">
        <v>1.05</v>
      </c>
      <c r="L136" s="36">
        <f>I136*K136</f>
        <v>255.41985</v>
      </c>
      <c r="M136" s="156"/>
      <c r="N136" s="156"/>
      <c r="O136" s="156"/>
      <c r="P136" s="158"/>
      <c r="Q136" s="158"/>
      <c r="R136" s="162"/>
      <c r="S136" s="162"/>
      <c r="T136" s="162"/>
      <c r="U136" s="162"/>
      <c r="V136" s="162"/>
      <c r="W136" s="162"/>
      <c r="X136" s="156"/>
      <c r="Y136" s="156"/>
      <c r="Z136" s="156"/>
      <c r="AA136" s="156"/>
      <c r="AB136" s="156"/>
      <c r="AC136" s="156"/>
      <c r="AD136" s="156"/>
      <c r="AE136" s="158"/>
      <c r="AF136" s="158"/>
      <c r="AG136" s="162"/>
      <c r="AH136" s="162"/>
      <c r="AI136" s="198"/>
      <c r="AJ136" s="198"/>
      <c r="AK136" s="198"/>
      <c r="AL136" s="198"/>
      <c r="AM136" s="198"/>
      <c r="AN136" s="199"/>
      <c r="AO136" s="198"/>
      <c r="AP136" s="198"/>
      <c r="AQ136" s="198"/>
      <c r="AR136" s="198"/>
      <c r="AS136" s="206"/>
      <c r="AT136" s="199"/>
      <c r="AU136" s="198"/>
      <c r="AV136" s="198"/>
      <c r="AW136" s="162"/>
      <c r="AX136" s="199"/>
      <c r="AY136" s="199"/>
      <c r="AZ136" s="199"/>
      <c r="BA136" s="195"/>
    </row>
    <row r="137" spans="1:53" s="39" customFormat="1" ht="88.5" customHeight="1" x14ac:dyDescent="0.25">
      <c r="A137" s="170"/>
      <c r="B137" s="172"/>
      <c r="C137" s="175"/>
      <c r="D137" s="35" t="s">
        <v>48</v>
      </c>
      <c r="E137" s="35" t="s">
        <v>49</v>
      </c>
      <c r="F137" s="35"/>
      <c r="G137" s="40" t="s">
        <v>51</v>
      </c>
      <c r="H137" s="36">
        <v>187</v>
      </c>
      <c r="I137" s="36">
        <f t="shared" si="34"/>
        <v>0</v>
      </c>
      <c r="J137" s="36" t="s">
        <v>36</v>
      </c>
      <c r="K137" s="37" t="s">
        <v>36</v>
      </c>
      <c r="L137" s="36">
        <f>I137</f>
        <v>0</v>
      </c>
      <c r="M137" s="156"/>
      <c r="N137" s="156"/>
      <c r="O137" s="156"/>
      <c r="P137" s="158"/>
      <c r="Q137" s="158"/>
      <c r="R137" s="162"/>
      <c r="S137" s="162"/>
      <c r="T137" s="162"/>
      <c r="U137" s="162"/>
      <c r="V137" s="162"/>
      <c r="W137" s="162"/>
      <c r="X137" s="156"/>
      <c r="Y137" s="156"/>
      <c r="Z137" s="156"/>
      <c r="AA137" s="156"/>
      <c r="AB137" s="156"/>
      <c r="AC137" s="156"/>
      <c r="AD137" s="156"/>
      <c r="AE137" s="158"/>
      <c r="AF137" s="158"/>
      <c r="AG137" s="162"/>
      <c r="AH137" s="162"/>
      <c r="AI137" s="198"/>
      <c r="AJ137" s="198"/>
      <c r="AK137" s="198"/>
      <c r="AL137" s="198"/>
      <c r="AM137" s="198"/>
      <c r="AN137" s="199"/>
      <c r="AO137" s="198"/>
      <c r="AP137" s="198"/>
      <c r="AQ137" s="198"/>
      <c r="AR137" s="198"/>
      <c r="AS137" s="206"/>
      <c r="AT137" s="199"/>
      <c r="AU137" s="198"/>
      <c r="AV137" s="198"/>
      <c r="AW137" s="162"/>
      <c r="AX137" s="199"/>
      <c r="AY137" s="199"/>
      <c r="AZ137" s="199"/>
      <c r="BA137" s="195"/>
    </row>
    <row r="138" spans="1:53" s="39" customFormat="1" ht="30" x14ac:dyDescent="0.25">
      <c r="A138" s="170"/>
      <c r="B138" s="173"/>
      <c r="C138" s="176"/>
      <c r="D138" s="35" t="s">
        <v>40</v>
      </c>
      <c r="E138" s="35" t="s">
        <v>41</v>
      </c>
      <c r="F138" s="35">
        <v>1</v>
      </c>
      <c r="G138" s="40" t="s">
        <v>232</v>
      </c>
      <c r="H138" s="36">
        <v>300</v>
      </c>
      <c r="I138" s="36">
        <f t="shared" si="34"/>
        <v>300</v>
      </c>
      <c r="J138" s="36" t="s">
        <v>36</v>
      </c>
      <c r="K138" s="36" t="s">
        <v>36</v>
      </c>
      <c r="L138" s="36">
        <f>I138</f>
        <v>300</v>
      </c>
      <c r="M138" s="157"/>
      <c r="N138" s="157"/>
      <c r="O138" s="157"/>
      <c r="P138" s="154"/>
      <c r="Q138" s="154"/>
      <c r="R138" s="163"/>
      <c r="S138" s="163"/>
      <c r="T138" s="163"/>
      <c r="U138" s="163"/>
      <c r="V138" s="163"/>
      <c r="W138" s="163"/>
      <c r="X138" s="157"/>
      <c r="Y138" s="157"/>
      <c r="Z138" s="157"/>
      <c r="AA138" s="157"/>
      <c r="AB138" s="157"/>
      <c r="AC138" s="157"/>
      <c r="AD138" s="157"/>
      <c r="AE138" s="154"/>
      <c r="AF138" s="154"/>
      <c r="AG138" s="163"/>
      <c r="AH138" s="163"/>
      <c r="AI138" s="198"/>
      <c r="AJ138" s="198"/>
      <c r="AK138" s="198"/>
      <c r="AL138" s="198"/>
      <c r="AM138" s="198"/>
      <c r="AN138" s="199"/>
      <c r="AO138" s="198"/>
      <c r="AP138" s="198"/>
      <c r="AQ138" s="198"/>
      <c r="AR138" s="198"/>
      <c r="AS138" s="206"/>
      <c r="AT138" s="199"/>
      <c r="AU138" s="198"/>
      <c r="AV138" s="198"/>
      <c r="AW138" s="163"/>
      <c r="AX138" s="199"/>
      <c r="AY138" s="199"/>
      <c r="AZ138" s="199"/>
      <c r="BA138" s="195"/>
    </row>
    <row r="139" spans="1:53" ht="15" customHeight="1" x14ac:dyDescent="0.25">
      <c r="A139" s="201">
        <v>33</v>
      </c>
      <c r="B139" s="202" t="s">
        <v>234</v>
      </c>
      <c r="C139" s="200">
        <v>10</v>
      </c>
      <c r="D139" s="41" t="s">
        <v>38</v>
      </c>
      <c r="E139" s="41" t="s">
        <v>37</v>
      </c>
      <c r="F139" s="41">
        <v>1</v>
      </c>
      <c r="G139" s="42" t="s">
        <v>39</v>
      </c>
      <c r="H139" s="32">
        <v>1663</v>
      </c>
      <c r="I139" s="32">
        <f>F139*H139</f>
        <v>1663</v>
      </c>
      <c r="J139" s="32" t="s">
        <v>54</v>
      </c>
      <c r="K139" s="33">
        <v>1.1000000000000001</v>
      </c>
      <c r="L139" s="32">
        <f>I139*K139</f>
        <v>1829.3000000000002</v>
      </c>
      <c r="M139" s="153">
        <v>11683.09</v>
      </c>
      <c r="N139" s="153">
        <v>2336.6179999999999</v>
      </c>
      <c r="O139" s="153">
        <v>14019.708000000001</v>
      </c>
      <c r="P139" s="153">
        <f>O139*R139*S139*T139</f>
        <v>16665.36193742746</v>
      </c>
      <c r="Q139" s="153">
        <f>P139</f>
        <v>16665.36193742746</v>
      </c>
      <c r="R139" s="151">
        <v>1.0680000000000001</v>
      </c>
      <c r="S139" s="151">
        <v>1.056</v>
      </c>
      <c r="T139" s="160">
        <v>1.054</v>
      </c>
      <c r="U139" s="160">
        <v>1.0509999999999999</v>
      </c>
      <c r="V139" s="160">
        <v>1.0489999999999999</v>
      </c>
      <c r="W139" s="160">
        <v>1.0469999999999999</v>
      </c>
      <c r="X139" s="153">
        <v>0</v>
      </c>
      <c r="Y139" s="153">
        <v>0</v>
      </c>
      <c r="Z139" s="153">
        <f>Q139</f>
        <v>16665.36193742746</v>
      </c>
      <c r="AA139" s="153">
        <v>0</v>
      </c>
      <c r="AB139" s="153">
        <v>0</v>
      </c>
      <c r="AC139" s="153">
        <v>0</v>
      </c>
      <c r="AD139" s="153">
        <f>SUM(L139:L144)*1.2</f>
        <v>14019.708000000001</v>
      </c>
      <c r="AE139" s="153">
        <f>AD139*AG139*AH139*AI139</f>
        <v>16586.304243227136</v>
      </c>
      <c r="AF139" s="153">
        <f>AM139+AN139+AO139+AP139+AQ139+AR139</f>
        <v>16586.304243227136</v>
      </c>
      <c r="AG139" s="151">
        <v>1.0680000000000001</v>
      </c>
      <c r="AH139" s="151">
        <v>1.056</v>
      </c>
      <c r="AI139" s="160">
        <v>1.0489999999999999</v>
      </c>
      <c r="AJ139" s="160">
        <v>1.139</v>
      </c>
      <c r="AK139" s="160">
        <v>1.0589999999999999</v>
      </c>
      <c r="AL139" s="160">
        <v>1.0529999999999999</v>
      </c>
      <c r="AM139" s="160">
        <v>0</v>
      </c>
      <c r="AN139" s="159">
        <v>0</v>
      </c>
      <c r="AO139" s="159">
        <f>AD139*AG139*AH139*AI139</f>
        <v>16586.304243227136</v>
      </c>
      <c r="AP139" s="160">
        <v>0</v>
      </c>
      <c r="AQ139" s="160">
        <v>0</v>
      </c>
      <c r="AR139" s="160">
        <v>0</v>
      </c>
      <c r="AS139" s="200">
        <v>14019.708000000001</v>
      </c>
      <c r="AT139" s="159">
        <v>16223.238528895654</v>
      </c>
      <c r="AU139" s="160">
        <v>1.0740000000000001</v>
      </c>
      <c r="AV139" s="160">
        <v>1.0369999999999999</v>
      </c>
      <c r="AW139" s="151">
        <v>1.0389999999999999</v>
      </c>
      <c r="AX139" s="159">
        <v>0</v>
      </c>
      <c r="AY139" s="159">
        <v>0</v>
      </c>
      <c r="AZ139" s="159">
        <v>16223.238528895654</v>
      </c>
      <c r="BA139" s="196">
        <f>AS9-O9</f>
        <v>0</v>
      </c>
    </row>
    <row r="140" spans="1:53" ht="90" x14ac:dyDescent="0.25">
      <c r="A140" s="201"/>
      <c r="B140" s="202"/>
      <c r="C140" s="200"/>
      <c r="D140" s="41" t="s">
        <v>42</v>
      </c>
      <c r="E140" s="41" t="s">
        <v>34</v>
      </c>
      <c r="F140" s="41">
        <v>5.23</v>
      </c>
      <c r="G140" s="31" t="s">
        <v>43</v>
      </c>
      <c r="H140" s="32">
        <v>699</v>
      </c>
      <c r="I140" s="32">
        <f>F140*H140</f>
        <v>3655.7700000000004</v>
      </c>
      <c r="J140" s="32" t="s">
        <v>55</v>
      </c>
      <c r="K140" s="33">
        <v>1.05</v>
      </c>
      <c r="L140" s="32">
        <f t="shared" ref="L140:L142" si="35">I140*K140</f>
        <v>3838.5585000000005</v>
      </c>
      <c r="M140" s="158"/>
      <c r="N140" s="158"/>
      <c r="O140" s="158"/>
      <c r="P140" s="158"/>
      <c r="Q140" s="158"/>
      <c r="R140" s="183"/>
      <c r="S140" s="183"/>
      <c r="T140" s="160"/>
      <c r="U140" s="160"/>
      <c r="V140" s="160"/>
      <c r="W140" s="160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83"/>
      <c r="AH140" s="183"/>
      <c r="AI140" s="160"/>
      <c r="AJ140" s="160"/>
      <c r="AK140" s="160"/>
      <c r="AL140" s="160"/>
      <c r="AM140" s="160"/>
      <c r="AN140" s="159"/>
      <c r="AO140" s="159"/>
      <c r="AP140" s="160"/>
      <c r="AQ140" s="160"/>
      <c r="AR140" s="160"/>
      <c r="AS140" s="200"/>
      <c r="AT140" s="159"/>
      <c r="AU140" s="160"/>
      <c r="AV140" s="160"/>
      <c r="AW140" s="183"/>
      <c r="AX140" s="159"/>
      <c r="AY140" s="159"/>
      <c r="AZ140" s="159"/>
      <c r="BA140" s="196"/>
    </row>
    <row r="141" spans="1:53" ht="60" x14ac:dyDescent="0.25">
      <c r="A141" s="201"/>
      <c r="B141" s="202"/>
      <c r="C141" s="200"/>
      <c r="D141" s="41" t="s">
        <v>44</v>
      </c>
      <c r="E141" s="41" t="s">
        <v>45</v>
      </c>
      <c r="F141" s="41">
        <v>170.12</v>
      </c>
      <c r="G141" s="31" t="s">
        <v>46</v>
      </c>
      <c r="H141" s="32">
        <v>17</v>
      </c>
      <c r="I141" s="32">
        <f t="shared" ref="I141:I156" si="36">F141*H141</f>
        <v>2892.04</v>
      </c>
      <c r="J141" s="32" t="s">
        <v>55</v>
      </c>
      <c r="K141" s="33">
        <v>1.05</v>
      </c>
      <c r="L141" s="32">
        <f t="shared" si="35"/>
        <v>3036.6420000000003</v>
      </c>
      <c r="M141" s="158"/>
      <c r="N141" s="158"/>
      <c r="O141" s="158"/>
      <c r="P141" s="158"/>
      <c r="Q141" s="158"/>
      <c r="R141" s="183"/>
      <c r="S141" s="183"/>
      <c r="T141" s="160"/>
      <c r="U141" s="160"/>
      <c r="V141" s="160"/>
      <c r="W141" s="160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83"/>
      <c r="AH141" s="183"/>
      <c r="AI141" s="160"/>
      <c r="AJ141" s="160"/>
      <c r="AK141" s="160"/>
      <c r="AL141" s="160"/>
      <c r="AM141" s="160"/>
      <c r="AN141" s="159"/>
      <c r="AO141" s="159"/>
      <c r="AP141" s="160"/>
      <c r="AQ141" s="160"/>
      <c r="AR141" s="160"/>
      <c r="AS141" s="200"/>
      <c r="AT141" s="159"/>
      <c r="AU141" s="160"/>
      <c r="AV141" s="160"/>
      <c r="AW141" s="183"/>
      <c r="AX141" s="159"/>
      <c r="AY141" s="159"/>
      <c r="AZ141" s="159"/>
      <c r="BA141" s="196"/>
    </row>
    <row r="142" spans="1:53" ht="75" x14ac:dyDescent="0.25">
      <c r="A142" s="201"/>
      <c r="B142" s="202"/>
      <c r="C142" s="200"/>
      <c r="D142" s="41" t="s">
        <v>57</v>
      </c>
      <c r="E142" s="41" t="s">
        <v>34</v>
      </c>
      <c r="F142" s="41">
        <v>5.23</v>
      </c>
      <c r="G142" s="31" t="s">
        <v>58</v>
      </c>
      <c r="H142" s="32">
        <v>413</v>
      </c>
      <c r="I142" s="32">
        <f t="shared" si="36"/>
        <v>2159.9900000000002</v>
      </c>
      <c r="J142" s="32" t="s">
        <v>55</v>
      </c>
      <c r="K142" s="33">
        <v>1.05</v>
      </c>
      <c r="L142" s="32">
        <f t="shared" si="35"/>
        <v>2267.9895000000001</v>
      </c>
      <c r="M142" s="158"/>
      <c r="N142" s="158"/>
      <c r="O142" s="158"/>
      <c r="P142" s="158"/>
      <c r="Q142" s="158"/>
      <c r="R142" s="183"/>
      <c r="S142" s="183"/>
      <c r="T142" s="160"/>
      <c r="U142" s="160"/>
      <c r="V142" s="160"/>
      <c r="W142" s="160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83"/>
      <c r="AH142" s="183"/>
      <c r="AI142" s="160"/>
      <c r="AJ142" s="160"/>
      <c r="AK142" s="160"/>
      <c r="AL142" s="160"/>
      <c r="AM142" s="160"/>
      <c r="AN142" s="159"/>
      <c r="AO142" s="159"/>
      <c r="AP142" s="160"/>
      <c r="AQ142" s="160"/>
      <c r="AR142" s="160"/>
      <c r="AS142" s="200"/>
      <c r="AT142" s="159"/>
      <c r="AU142" s="160"/>
      <c r="AV142" s="160"/>
      <c r="AW142" s="183"/>
      <c r="AX142" s="159"/>
      <c r="AY142" s="159"/>
      <c r="AZ142" s="159"/>
      <c r="BA142" s="196"/>
    </row>
    <row r="143" spans="1:53" ht="75" x14ac:dyDescent="0.25">
      <c r="A143" s="201"/>
      <c r="B143" s="202"/>
      <c r="C143" s="200"/>
      <c r="D143" s="41" t="s">
        <v>48</v>
      </c>
      <c r="E143" s="41" t="s">
        <v>49</v>
      </c>
      <c r="F143" s="41">
        <v>0.8</v>
      </c>
      <c r="G143" s="31" t="s">
        <v>51</v>
      </c>
      <c r="H143" s="32">
        <v>187</v>
      </c>
      <c r="I143" s="32">
        <f t="shared" si="36"/>
        <v>149.6</v>
      </c>
      <c r="J143" s="32" t="s">
        <v>36</v>
      </c>
      <c r="K143" s="33" t="s">
        <v>36</v>
      </c>
      <c r="L143" s="32">
        <f>I143</f>
        <v>149.6</v>
      </c>
      <c r="M143" s="158"/>
      <c r="N143" s="158"/>
      <c r="O143" s="158"/>
      <c r="P143" s="158"/>
      <c r="Q143" s="158"/>
      <c r="R143" s="183"/>
      <c r="S143" s="183"/>
      <c r="T143" s="160"/>
      <c r="U143" s="160"/>
      <c r="V143" s="160"/>
      <c r="W143" s="160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83"/>
      <c r="AH143" s="183"/>
      <c r="AI143" s="160"/>
      <c r="AJ143" s="160"/>
      <c r="AK143" s="160"/>
      <c r="AL143" s="160"/>
      <c r="AM143" s="160"/>
      <c r="AN143" s="159"/>
      <c r="AO143" s="159"/>
      <c r="AP143" s="160"/>
      <c r="AQ143" s="160"/>
      <c r="AR143" s="160"/>
      <c r="AS143" s="200"/>
      <c r="AT143" s="159"/>
      <c r="AU143" s="160"/>
      <c r="AV143" s="160"/>
      <c r="AW143" s="183"/>
      <c r="AX143" s="159"/>
      <c r="AY143" s="159"/>
      <c r="AZ143" s="159"/>
      <c r="BA143" s="196"/>
    </row>
    <row r="144" spans="1:53" ht="30" x14ac:dyDescent="0.25">
      <c r="A144" s="201"/>
      <c r="B144" s="202"/>
      <c r="C144" s="200"/>
      <c r="D144" s="41" t="s">
        <v>20</v>
      </c>
      <c r="E144" s="41" t="s">
        <v>207</v>
      </c>
      <c r="F144" s="41">
        <v>1</v>
      </c>
      <c r="G144" s="31" t="s">
        <v>235</v>
      </c>
      <c r="H144" s="32">
        <v>561</v>
      </c>
      <c r="I144" s="32">
        <f t="shared" si="36"/>
        <v>561</v>
      </c>
      <c r="J144" s="32" t="s">
        <v>36</v>
      </c>
      <c r="K144" s="32" t="s">
        <v>36</v>
      </c>
      <c r="L144" s="32">
        <f>I144</f>
        <v>561</v>
      </c>
      <c r="M144" s="154"/>
      <c r="N144" s="154"/>
      <c r="O144" s="154"/>
      <c r="P144" s="154"/>
      <c r="Q144" s="154"/>
      <c r="R144" s="152"/>
      <c r="S144" s="152"/>
      <c r="T144" s="160"/>
      <c r="U144" s="160"/>
      <c r="V144" s="160"/>
      <c r="W144" s="160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2"/>
      <c r="AH144" s="152"/>
      <c r="AI144" s="160"/>
      <c r="AJ144" s="160"/>
      <c r="AK144" s="160"/>
      <c r="AL144" s="160"/>
      <c r="AM144" s="160"/>
      <c r="AN144" s="159"/>
      <c r="AO144" s="159"/>
      <c r="AP144" s="160"/>
      <c r="AQ144" s="160"/>
      <c r="AR144" s="160"/>
      <c r="AS144" s="200"/>
      <c r="AT144" s="159"/>
      <c r="AU144" s="160"/>
      <c r="AV144" s="160"/>
      <c r="AW144" s="152"/>
      <c r="AX144" s="159"/>
      <c r="AY144" s="159"/>
      <c r="AZ144" s="159"/>
      <c r="BA144" s="196"/>
    </row>
    <row r="145" spans="1:54" s="39" customFormat="1" ht="15" customHeight="1" x14ac:dyDescent="0.25">
      <c r="A145" s="170">
        <v>34</v>
      </c>
      <c r="B145" s="203" t="s">
        <v>259</v>
      </c>
      <c r="C145" s="206">
        <v>6</v>
      </c>
      <c r="D145" s="35" t="s">
        <v>38</v>
      </c>
      <c r="E145" s="35" t="s">
        <v>37</v>
      </c>
      <c r="F145" s="35">
        <v>0</v>
      </c>
      <c r="G145" s="57" t="s">
        <v>39</v>
      </c>
      <c r="H145" s="36">
        <v>1663</v>
      </c>
      <c r="I145" s="36">
        <f t="shared" si="36"/>
        <v>0</v>
      </c>
      <c r="J145" s="36" t="s">
        <v>54</v>
      </c>
      <c r="K145" s="37">
        <v>1.1000000000000001</v>
      </c>
      <c r="L145" s="36">
        <f>I145*K145</f>
        <v>0</v>
      </c>
      <c r="M145" s="155">
        <v>31236</v>
      </c>
      <c r="N145" s="155">
        <f>M145*0.2</f>
        <v>6247.2000000000007</v>
      </c>
      <c r="O145" s="155">
        <v>37482.794400000006</v>
      </c>
      <c r="P145" s="153">
        <f>O145*R145*S145*T145</f>
        <v>42199.929709375923</v>
      </c>
      <c r="Q145" s="153">
        <f>SUM(X145:AC150)</f>
        <v>44014.526686879086</v>
      </c>
      <c r="R145" s="161">
        <v>1.032</v>
      </c>
      <c r="S145" s="161">
        <v>1.038</v>
      </c>
      <c r="T145" s="198">
        <v>1.0509999999999999</v>
      </c>
      <c r="U145" s="198">
        <v>1.0429999999999999</v>
      </c>
      <c r="V145" s="198">
        <v>1.042</v>
      </c>
      <c r="W145" s="198">
        <v>1.0409999999999999</v>
      </c>
      <c r="X145" s="155">
        <v>0</v>
      </c>
      <c r="Y145" s="155">
        <v>0</v>
      </c>
      <c r="Z145" s="155">
        <v>0</v>
      </c>
      <c r="AA145" s="155">
        <f>O145*R145*S145*T145*U145</f>
        <v>44014.526686879086</v>
      </c>
      <c r="AB145" s="155">
        <v>0</v>
      </c>
      <c r="AC145" s="155">
        <v>0</v>
      </c>
      <c r="AD145" s="155">
        <f>SUM(L145:L150)*1.2</f>
        <v>37482.794400000006</v>
      </c>
      <c r="AE145" s="153">
        <f>AD145*AG145*AH145*AI145*AJ145</f>
        <v>48229.211541063516</v>
      </c>
      <c r="AF145" s="153">
        <f>AM145+AN145+AO145+AP145+AQ145+AR145</f>
        <v>48229.211541063516</v>
      </c>
      <c r="AG145" s="161">
        <v>1.032</v>
      </c>
      <c r="AH145" s="161">
        <v>1.038</v>
      </c>
      <c r="AI145" s="198">
        <v>1.0696000000000001</v>
      </c>
      <c r="AJ145" s="198">
        <v>1.123</v>
      </c>
      <c r="AK145" s="198">
        <v>1.0589999999999999</v>
      </c>
      <c r="AL145" s="198">
        <v>1.0509999999999999</v>
      </c>
      <c r="AM145" s="198">
        <v>0</v>
      </c>
      <c r="AN145" s="199">
        <v>0</v>
      </c>
      <c r="AO145" s="199">
        <v>0</v>
      </c>
      <c r="AP145" s="199">
        <f>AD145*AG145*AH145*AI145*AJ145</f>
        <v>48229.211541063516</v>
      </c>
      <c r="AQ145" s="198">
        <v>0</v>
      </c>
      <c r="AR145" s="198">
        <v>0</v>
      </c>
      <c r="AS145" s="170" t="s">
        <v>175</v>
      </c>
      <c r="AT145" s="199" t="s">
        <v>175</v>
      </c>
      <c r="AU145" s="198" t="s">
        <v>175</v>
      </c>
      <c r="AV145" s="198" t="s">
        <v>175</v>
      </c>
      <c r="AW145" s="161" t="s">
        <v>175</v>
      </c>
      <c r="AX145" s="199" t="s">
        <v>175</v>
      </c>
      <c r="AY145" s="199" t="s">
        <v>175</v>
      </c>
      <c r="AZ145" s="199" t="s">
        <v>175</v>
      </c>
      <c r="BA145" s="195">
        <f>AS9-O9</f>
        <v>0</v>
      </c>
    </row>
    <row r="146" spans="1:54" s="39" customFormat="1" ht="90" x14ac:dyDescent="0.25">
      <c r="A146" s="170"/>
      <c r="B146" s="204"/>
      <c r="C146" s="206"/>
      <c r="D146" s="35" t="s">
        <v>42</v>
      </c>
      <c r="E146" s="35" t="s">
        <v>34</v>
      </c>
      <c r="F146" s="35">
        <v>9.1999999999999993</v>
      </c>
      <c r="G146" s="40" t="s">
        <v>43</v>
      </c>
      <c r="H146" s="36">
        <v>699</v>
      </c>
      <c r="I146" s="36">
        <f t="shared" si="36"/>
        <v>6430.7999999999993</v>
      </c>
      <c r="J146" s="36" t="s">
        <v>55</v>
      </c>
      <c r="K146" s="37">
        <v>1.05</v>
      </c>
      <c r="L146" s="36">
        <f>I146*K146</f>
        <v>6752.3399999999992</v>
      </c>
      <c r="M146" s="156"/>
      <c r="N146" s="156"/>
      <c r="O146" s="156"/>
      <c r="P146" s="158"/>
      <c r="Q146" s="158"/>
      <c r="R146" s="162"/>
      <c r="S146" s="162"/>
      <c r="T146" s="198"/>
      <c r="U146" s="198"/>
      <c r="V146" s="198"/>
      <c r="W146" s="198"/>
      <c r="X146" s="156"/>
      <c r="Y146" s="156"/>
      <c r="Z146" s="156"/>
      <c r="AA146" s="156"/>
      <c r="AB146" s="156"/>
      <c r="AC146" s="156"/>
      <c r="AD146" s="156"/>
      <c r="AE146" s="158"/>
      <c r="AF146" s="158"/>
      <c r="AG146" s="162"/>
      <c r="AH146" s="162"/>
      <c r="AI146" s="198"/>
      <c r="AJ146" s="198"/>
      <c r="AK146" s="198"/>
      <c r="AL146" s="198"/>
      <c r="AM146" s="198"/>
      <c r="AN146" s="199"/>
      <c r="AO146" s="199"/>
      <c r="AP146" s="199"/>
      <c r="AQ146" s="198"/>
      <c r="AR146" s="198"/>
      <c r="AS146" s="170"/>
      <c r="AT146" s="199"/>
      <c r="AU146" s="198"/>
      <c r="AV146" s="198"/>
      <c r="AW146" s="162"/>
      <c r="AX146" s="199"/>
      <c r="AY146" s="199"/>
      <c r="AZ146" s="199"/>
      <c r="BA146" s="195"/>
    </row>
    <row r="147" spans="1:54" s="39" customFormat="1" ht="60" x14ac:dyDescent="0.25">
      <c r="A147" s="170"/>
      <c r="B147" s="204"/>
      <c r="C147" s="206"/>
      <c r="D147" s="35" t="s">
        <v>44</v>
      </c>
      <c r="E147" s="35" t="s">
        <v>45</v>
      </c>
      <c r="F147" s="35">
        <v>207.92</v>
      </c>
      <c r="G147" s="40" t="s">
        <v>46</v>
      </c>
      <c r="H147" s="36">
        <v>17</v>
      </c>
      <c r="I147" s="36">
        <f t="shared" si="36"/>
        <v>3534.64</v>
      </c>
      <c r="J147" s="36" t="s">
        <v>55</v>
      </c>
      <c r="K147" s="37">
        <v>1.05</v>
      </c>
      <c r="L147" s="36">
        <f>I147*K147</f>
        <v>3711.3719999999998</v>
      </c>
      <c r="M147" s="156"/>
      <c r="N147" s="156"/>
      <c r="O147" s="156"/>
      <c r="P147" s="158"/>
      <c r="Q147" s="158"/>
      <c r="R147" s="162"/>
      <c r="S147" s="162"/>
      <c r="T147" s="198"/>
      <c r="U147" s="198"/>
      <c r="V147" s="198"/>
      <c r="W147" s="198"/>
      <c r="X147" s="156"/>
      <c r="Y147" s="156"/>
      <c r="Z147" s="156"/>
      <c r="AA147" s="156"/>
      <c r="AB147" s="156"/>
      <c r="AC147" s="156"/>
      <c r="AD147" s="156"/>
      <c r="AE147" s="158"/>
      <c r="AF147" s="158"/>
      <c r="AG147" s="162"/>
      <c r="AH147" s="162"/>
      <c r="AI147" s="198"/>
      <c r="AJ147" s="198"/>
      <c r="AK147" s="198"/>
      <c r="AL147" s="198"/>
      <c r="AM147" s="198"/>
      <c r="AN147" s="199"/>
      <c r="AO147" s="199"/>
      <c r="AP147" s="199"/>
      <c r="AQ147" s="198"/>
      <c r="AR147" s="198"/>
      <c r="AS147" s="170"/>
      <c r="AT147" s="199"/>
      <c r="AU147" s="198"/>
      <c r="AV147" s="198"/>
      <c r="AW147" s="162"/>
      <c r="AX147" s="199"/>
      <c r="AY147" s="199"/>
      <c r="AZ147" s="199"/>
      <c r="BA147" s="195"/>
    </row>
    <row r="148" spans="1:54" s="39" customFormat="1" ht="75" x14ac:dyDescent="0.25">
      <c r="A148" s="170"/>
      <c r="B148" s="204"/>
      <c r="C148" s="206"/>
      <c r="D148" s="35" t="s">
        <v>47</v>
      </c>
      <c r="E148" s="35" t="s">
        <v>34</v>
      </c>
      <c r="F148" s="35">
        <v>27.6</v>
      </c>
      <c r="G148" s="40" t="s">
        <v>236</v>
      </c>
      <c r="H148" s="36">
        <v>449</v>
      </c>
      <c r="I148" s="36">
        <f t="shared" si="36"/>
        <v>12392.400000000001</v>
      </c>
      <c r="J148" s="36" t="s">
        <v>55</v>
      </c>
      <c r="K148" s="37">
        <v>1.05</v>
      </c>
      <c r="L148" s="36">
        <f>I148*K148</f>
        <v>13012.020000000002</v>
      </c>
      <c r="M148" s="156"/>
      <c r="N148" s="156"/>
      <c r="O148" s="156"/>
      <c r="P148" s="158"/>
      <c r="Q148" s="158"/>
      <c r="R148" s="162"/>
      <c r="S148" s="162"/>
      <c r="T148" s="198"/>
      <c r="U148" s="198"/>
      <c r="V148" s="198"/>
      <c r="W148" s="198"/>
      <c r="X148" s="156"/>
      <c r="Y148" s="156"/>
      <c r="Z148" s="156"/>
      <c r="AA148" s="156"/>
      <c r="AB148" s="156"/>
      <c r="AC148" s="156"/>
      <c r="AD148" s="156"/>
      <c r="AE148" s="158"/>
      <c r="AF148" s="158"/>
      <c r="AG148" s="162"/>
      <c r="AH148" s="162"/>
      <c r="AI148" s="198"/>
      <c r="AJ148" s="198"/>
      <c r="AK148" s="198"/>
      <c r="AL148" s="198"/>
      <c r="AM148" s="198"/>
      <c r="AN148" s="199"/>
      <c r="AO148" s="199"/>
      <c r="AP148" s="199"/>
      <c r="AQ148" s="198"/>
      <c r="AR148" s="198"/>
      <c r="AS148" s="170"/>
      <c r="AT148" s="199"/>
      <c r="AU148" s="198"/>
      <c r="AV148" s="198"/>
      <c r="AW148" s="162"/>
      <c r="AX148" s="199"/>
      <c r="AY148" s="199"/>
      <c r="AZ148" s="199"/>
      <c r="BA148" s="195"/>
    </row>
    <row r="149" spans="1:54" s="39" customFormat="1" ht="75" x14ac:dyDescent="0.25">
      <c r="A149" s="170"/>
      <c r="B149" s="204"/>
      <c r="C149" s="206"/>
      <c r="D149" s="35" t="s">
        <v>48</v>
      </c>
      <c r="E149" s="35" t="s">
        <v>49</v>
      </c>
      <c r="F149" s="35">
        <v>1.39</v>
      </c>
      <c r="G149" s="40" t="s">
        <v>51</v>
      </c>
      <c r="H149" s="36">
        <v>187</v>
      </c>
      <c r="I149" s="36">
        <f t="shared" si="36"/>
        <v>259.93</v>
      </c>
      <c r="J149" s="36" t="s">
        <v>36</v>
      </c>
      <c r="K149" s="37" t="s">
        <v>36</v>
      </c>
      <c r="L149" s="36">
        <f>I149</f>
        <v>259.93</v>
      </c>
      <c r="M149" s="156"/>
      <c r="N149" s="156"/>
      <c r="O149" s="156"/>
      <c r="P149" s="158"/>
      <c r="Q149" s="158"/>
      <c r="R149" s="162"/>
      <c r="S149" s="162"/>
      <c r="T149" s="198"/>
      <c r="U149" s="198"/>
      <c r="V149" s="198"/>
      <c r="W149" s="198"/>
      <c r="X149" s="156"/>
      <c r="Y149" s="156"/>
      <c r="Z149" s="156"/>
      <c r="AA149" s="156"/>
      <c r="AB149" s="156"/>
      <c r="AC149" s="156"/>
      <c r="AD149" s="156"/>
      <c r="AE149" s="158"/>
      <c r="AF149" s="158"/>
      <c r="AG149" s="162"/>
      <c r="AH149" s="162"/>
      <c r="AI149" s="198"/>
      <c r="AJ149" s="198"/>
      <c r="AK149" s="198"/>
      <c r="AL149" s="198"/>
      <c r="AM149" s="198"/>
      <c r="AN149" s="199"/>
      <c r="AO149" s="199"/>
      <c r="AP149" s="199"/>
      <c r="AQ149" s="198"/>
      <c r="AR149" s="198"/>
      <c r="AS149" s="170"/>
      <c r="AT149" s="199"/>
      <c r="AU149" s="198"/>
      <c r="AV149" s="198"/>
      <c r="AW149" s="162"/>
      <c r="AX149" s="199"/>
      <c r="AY149" s="199"/>
      <c r="AZ149" s="199"/>
      <c r="BA149" s="195"/>
    </row>
    <row r="150" spans="1:54" s="39" customFormat="1" ht="30" x14ac:dyDescent="0.25">
      <c r="A150" s="170"/>
      <c r="B150" s="205"/>
      <c r="C150" s="206"/>
      <c r="D150" s="35" t="s">
        <v>105</v>
      </c>
      <c r="E150" s="35" t="s">
        <v>41</v>
      </c>
      <c r="F150" s="35">
        <v>1</v>
      </c>
      <c r="G150" s="40" t="s">
        <v>178</v>
      </c>
      <c r="H150" s="36">
        <v>7500</v>
      </c>
      <c r="I150" s="36">
        <f t="shared" si="36"/>
        <v>7500</v>
      </c>
      <c r="J150" s="36" t="s">
        <v>36</v>
      </c>
      <c r="K150" s="36" t="s">
        <v>36</v>
      </c>
      <c r="L150" s="36">
        <f>I150</f>
        <v>7500</v>
      </c>
      <c r="M150" s="157"/>
      <c r="N150" s="157"/>
      <c r="O150" s="157"/>
      <c r="P150" s="154"/>
      <c r="Q150" s="154"/>
      <c r="R150" s="163"/>
      <c r="S150" s="163"/>
      <c r="T150" s="198"/>
      <c r="U150" s="198"/>
      <c r="V150" s="198"/>
      <c r="W150" s="198"/>
      <c r="X150" s="157"/>
      <c r="Y150" s="157"/>
      <c r="Z150" s="157"/>
      <c r="AA150" s="157"/>
      <c r="AB150" s="157"/>
      <c r="AC150" s="157"/>
      <c r="AD150" s="157"/>
      <c r="AE150" s="154"/>
      <c r="AF150" s="154"/>
      <c r="AG150" s="163"/>
      <c r="AH150" s="163"/>
      <c r="AI150" s="198"/>
      <c r="AJ150" s="198"/>
      <c r="AK150" s="198"/>
      <c r="AL150" s="198"/>
      <c r="AM150" s="198"/>
      <c r="AN150" s="199"/>
      <c r="AO150" s="199"/>
      <c r="AP150" s="199"/>
      <c r="AQ150" s="198"/>
      <c r="AR150" s="198"/>
      <c r="AS150" s="170"/>
      <c r="AT150" s="199"/>
      <c r="AU150" s="198"/>
      <c r="AV150" s="198"/>
      <c r="AW150" s="163"/>
      <c r="AX150" s="199"/>
      <c r="AY150" s="199"/>
      <c r="AZ150" s="199"/>
      <c r="BA150" s="195"/>
    </row>
    <row r="151" spans="1:54" ht="15" customHeight="1" x14ac:dyDescent="0.25">
      <c r="A151" s="201">
        <v>35</v>
      </c>
      <c r="B151" s="202" t="s">
        <v>260</v>
      </c>
      <c r="C151" s="200">
        <v>6</v>
      </c>
      <c r="D151" s="41" t="s">
        <v>63</v>
      </c>
      <c r="E151" s="41" t="s">
        <v>37</v>
      </c>
      <c r="F151" s="41">
        <v>1</v>
      </c>
      <c r="G151" s="42" t="s">
        <v>237</v>
      </c>
      <c r="H151" s="32">
        <v>928</v>
      </c>
      <c r="I151" s="32">
        <f t="shared" si="36"/>
        <v>928</v>
      </c>
      <c r="J151" s="32" t="s">
        <v>59</v>
      </c>
      <c r="K151" s="33">
        <v>1.03</v>
      </c>
      <c r="L151" s="32">
        <f>I151*K151</f>
        <v>955.84</v>
      </c>
      <c r="M151" s="153">
        <f>SUM(L151:L156)</f>
        <v>4236.5645999999997</v>
      </c>
      <c r="N151" s="153">
        <f>M151*0.2</f>
        <v>847.31291999999996</v>
      </c>
      <c r="O151" s="153">
        <f>M151+N151</f>
        <v>5083.87752</v>
      </c>
      <c r="P151" s="153">
        <f>O151*R151*S151*T151</f>
        <v>5723.6734194790006</v>
      </c>
      <c r="Q151" s="153">
        <f>SUM(X151:AC156)</f>
        <v>5723.6734194790006</v>
      </c>
      <c r="R151" s="151">
        <v>1.032</v>
      </c>
      <c r="S151" s="151">
        <v>1.038</v>
      </c>
      <c r="T151" s="160">
        <v>1.0509999999999999</v>
      </c>
      <c r="U151" s="160">
        <v>1.0429999999999999</v>
      </c>
      <c r="V151" s="160">
        <v>1.042</v>
      </c>
      <c r="W151" s="160">
        <v>1.0409999999999999</v>
      </c>
      <c r="X151" s="153">
        <v>0</v>
      </c>
      <c r="Y151" s="153">
        <v>0</v>
      </c>
      <c r="Z151" s="153">
        <f>O151*R151*S151*T151</f>
        <v>5723.6734194790006</v>
      </c>
      <c r="AA151" s="153">
        <v>0</v>
      </c>
      <c r="AB151" s="153">
        <v>0</v>
      </c>
      <c r="AC151" s="153">
        <v>0</v>
      </c>
      <c r="AD151" s="155">
        <f>SUM(L151:L156)*1.2</f>
        <v>5083.8775199999991</v>
      </c>
      <c r="AE151" s="153">
        <f>AD151*AG151*AH151*AI151</f>
        <v>5824.9677349902367</v>
      </c>
      <c r="AF151" s="153">
        <f>AM151+AN151+AO151+AP151+AQ151+AR151</f>
        <v>5824.9677349902367</v>
      </c>
      <c r="AG151" s="161">
        <v>1.032</v>
      </c>
      <c r="AH151" s="161">
        <v>1.038</v>
      </c>
      <c r="AI151" s="198">
        <v>1.0696000000000001</v>
      </c>
      <c r="AJ151" s="198">
        <v>1.123</v>
      </c>
      <c r="AK151" s="198">
        <v>1.0589999999999999</v>
      </c>
      <c r="AL151" s="198">
        <v>1.0509999999999999</v>
      </c>
      <c r="AM151" s="198">
        <v>0</v>
      </c>
      <c r="AN151" s="199">
        <v>0</v>
      </c>
      <c r="AO151" s="199">
        <f>AD151*AG151*AH151*AI151</f>
        <v>5824.9677349902367</v>
      </c>
      <c r="AP151" s="198">
        <v>0</v>
      </c>
      <c r="AQ151" s="198">
        <v>0</v>
      </c>
      <c r="AR151" s="198">
        <v>0</v>
      </c>
      <c r="AS151" s="200">
        <v>5083.8775199999991</v>
      </c>
      <c r="AT151" s="200">
        <v>3938.0266937819997</v>
      </c>
      <c r="AU151" s="201">
        <v>1.0740000000000001</v>
      </c>
      <c r="AV151" s="201">
        <v>1.0369999999999999</v>
      </c>
      <c r="AW151" s="168">
        <v>1.0389999999999999</v>
      </c>
      <c r="AX151" s="201">
        <v>0</v>
      </c>
      <c r="AY151" s="201">
        <v>0</v>
      </c>
      <c r="AZ151" s="200">
        <v>3938.0266937819997</v>
      </c>
      <c r="BA151" s="196">
        <f>AS9-O9</f>
        <v>0</v>
      </c>
    </row>
    <row r="152" spans="1:54" ht="90" x14ac:dyDescent="0.25">
      <c r="A152" s="201"/>
      <c r="B152" s="202"/>
      <c r="C152" s="200"/>
      <c r="D152" s="41" t="s">
        <v>42</v>
      </c>
      <c r="E152" s="41" t="s">
        <v>34</v>
      </c>
      <c r="F152" s="41">
        <v>0.77600000000000002</v>
      </c>
      <c r="G152" s="31" t="s">
        <v>43</v>
      </c>
      <c r="H152" s="32">
        <v>699</v>
      </c>
      <c r="I152" s="32">
        <f t="shared" si="36"/>
        <v>542.42399999999998</v>
      </c>
      <c r="J152" s="32" t="s">
        <v>55</v>
      </c>
      <c r="K152" s="33">
        <v>1.05</v>
      </c>
      <c r="L152" s="32">
        <f>I152*K152</f>
        <v>569.54520000000002</v>
      </c>
      <c r="M152" s="158"/>
      <c r="N152" s="158"/>
      <c r="O152" s="158"/>
      <c r="P152" s="158"/>
      <c r="Q152" s="158"/>
      <c r="R152" s="183"/>
      <c r="S152" s="183"/>
      <c r="T152" s="160"/>
      <c r="U152" s="160"/>
      <c r="V152" s="160"/>
      <c r="W152" s="160"/>
      <c r="X152" s="158"/>
      <c r="Y152" s="158"/>
      <c r="Z152" s="158"/>
      <c r="AA152" s="158"/>
      <c r="AB152" s="158"/>
      <c r="AC152" s="158"/>
      <c r="AD152" s="156"/>
      <c r="AE152" s="158"/>
      <c r="AF152" s="158"/>
      <c r="AG152" s="162"/>
      <c r="AH152" s="162"/>
      <c r="AI152" s="198"/>
      <c r="AJ152" s="198"/>
      <c r="AK152" s="198"/>
      <c r="AL152" s="198"/>
      <c r="AM152" s="198"/>
      <c r="AN152" s="199"/>
      <c r="AO152" s="199"/>
      <c r="AP152" s="198"/>
      <c r="AQ152" s="198"/>
      <c r="AR152" s="198"/>
      <c r="AS152" s="200"/>
      <c r="AT152" s="200"/>
      <c r="AU152" s="201"/>
      <c r="AV152" s="201"/>
      <c r="AW152" s="190"/>
      <c r="AX152" s="201"/>
      <c r="AY152" s="201"/>
      <c r="AZ152" s="200"/>
      <c r="BA152" s="196"/>
    </row>
    <row r="153" spans="1:54" ht="60" x14ac:dyDescent="0.25">
      <c r="A153" s="201"/>
      <c r="B153" s="202"/>
      <c r="C153" s="200"/>
      <c r="D153" s="41" t="s">
        <v>44</v>
      </c>
      <c r="E153" s="41" t="s">
        <v>45</v>
      </c>
      <c r="F153" s="41">
        <v>18.079999999999998</v>
      </c>
      <c r="G153" s="31" t="s">
        <v>46</v>
      </c>
      <c r="H153" s="32">
        <v>17</v>
      </c>
      <c r="I153" s="32">
        <f t="shared" si="36"/>
        <v>307.35999999999996</v>
      </c>
      <c r="J153" s="32" t="s">
        <v>55</v>
      </c>
      <c r="K153" s="33">
        <v>1.05</v>
      </c>
      <c r="L153" s="32">
        <f>I153*K153</f>
        <v>322.72799999999995</v>
      </c>
      <c r="M153" s="158"/>
      <c r="N153" s="158"/>
      <c r="O153" s="158"/>
      <c r="P153" s="158"/>
      <c r="Q153" s="158"/>
      <c r="R153" s="183"/>
      <c r="S153" s="183"/>
      <c r="T153" s="160"/>
      <c r="U153" s="160"/>
      <c r="V153" s="160"/>
      <c r="W153" s="160"/>
      <c r="X153" s="158"/>
      <c r="Y153" s="158"/>
      <c r="Z153" s="158"/>
      <c r="AA153" s="158"/>
      <c r="AB153" s="158"/>
      <c r="AC153" s="158"/>
      <c r="AD153" s="156"/>
      <c r="AE153" s="158"/>
      <c r="AF153" s="158"/>
      <c r="AG153" s="162"/>
      <c r="AH153" s="162"/>
      <c r="AI153" s="198"/>
      <c r="AJ153" s="198"/>
      <c r="AK153" s="198"/>
      <c r="AL153" s="198"/>
      <c r="AM153" s="198"/>
      <c r="AN153" s="199"/>
      <c r="AO153" s="199"/>
      <c r="AP153" s="198"/>
      <c r="AQ153" s="198"/>
      <c r="AR153" s="198"/>
      <c r="AS153" s="200"/>
      <c r="AT153" s="200"/>
      <c r="AU153" s="201"/>
      <c r="AV153" s="201"/>
      <c r="AW153" s="190"/>
      <c r="AX153" s="201"/>
      <c r="AY153" s="201"/>
      <c r="AZ153" s="200"/>
      <c r="BA153" s="196"/>
    </row>
    <row r="154" spans="1:54" ht="75" x14ac:dyDescent="0.25">
      <c r="A154" s="201"/>
      <c r="B154" s="202"/>
      <c r="C154" s="200"/>
      <c r="D154" s="41" t="s">
        <v>57</v>
      </c>
      <c r="E154" s="41" t="s">
        <v>34</v>
      </c>
      <c r="F154" s="41">
        <v>4.6559999999999997</v>
      </c>
      <c r="G154" s="31" t="s">
        <v>58</v>
      </c>
      <c r="H154" s="32">
        <v>413</v>
      </c>
      <c r="I154" s="32">
        <f t="shared" si="36"/>
        <v>1922.9279999999999</v>
      </c>
      <c r="J154" s="32" t="s">
        <v>55</v>
      </c>
      <c r="K154" s="33">
        <v>1.05</v>
      </c>
      <c r="L154" s="32">
        <f>I154*K154</f>
        <v>2019.0744</v>
      </c>
      <c r="M154" s="158"/>
      <c r="N154" s="158"/>
      <c r="O154" s="158"/>
      <c r="P154" s="158"/>
      <c r="Q154" s="158"/>
      <c r="R154" s="183"/>
      <c r="S154" s="183"/>
      <c r="T154" s="160"/>
      <c r="U154" s="160"/>
      <c r="V154" s="160"/>
      <c r="W154" s="160"/>
      <c r="X154" s="158"/>
      <c r="Y154" s="158"/>
      <c r="Z154" s="158"/>
      <c r="AA154" s="158"/>
      <c r="AB154" s="158"/>
      <c r="AC154" s="158"/>
      <c r="AD154" s="156"/>
      <c r="AE154" s="158"/>
      <c r="AF154" s="158"/>
      <c r="AG154" s="162"/>
      <c r="AH154" s="162"/>
      <c r="AI154" s="198"/>
      <c r="AJ154" s="198"/>
      <c r="AK154" s="198"/>
      <c r="AL154" s="198"/>
      <c r="AM154" s="198"/>
      <c r="AN154" s="199"/>
      <c r="AO154" s="199"/>
      <c r="AP154" s="198"/>
      <c r="AQ154" s="198"/>
      <c r="AR154" s="198"/>
      <c r="AS154" s="200"/>
      <c r="AT154" s="200"/>
      <c r="AU154" s="201"/>
      <c r="AV154" s="201"/>
      <c r="AW154" s="190"/>
      <c r="AX154" s="201"/>
      <c r="AY154" s="201"/>
      <c r="AZ154" s="200"/>
      <c r="BA154" s="196"/>
    </row>
    <row r="155" spans="1:54" ht="75" x14ac:dyDescent="0.25">
      <c r="A155" s="201"/>
      <c r="B155" s="202"/>
      <c r="C155" s="200"/>
      <c r="D155" s="41" t="s">
        <v>48</v>
      </c>
      <c r="E155" s="41" t="s">
        <v>49</v>
      </c>
      <c r="F155" s="41">
        <v>0.371</v>
      </c>
      <c r="G155" s="31" t="s">
        <v>51</v>
      </c>
      <c r="H155" s="32">
        <v>187</v>
      </c>
      <c r="I155" s="32">
        <f t="shared" si="36"/>
        <v>69.376999999999995</v>
      </c>
      <c r="J155" s="32" t="s">
        <v>36</v>
      </c>
      <c r="K155" s="33" t="s">
        <v>36</v>
      </c>
      <c r="L155" s="32">
        <f>I155</f>
        <v>69.376999999999995</v>
      </c>
      <c r="M155" s="158"/>
      <c r="N155" s="158"/>
      <c r="O155" s="158"/>
      <c r="P155" s="158"/>
      <c r="Q155" s="158"/>
      <c r="R155" s="183"/>
      <c r="S155" s="183"/>
      <c r="T155" s="160"/>
      <c r="U155" s="160"/>
      <c r="V155" s="160"/>
      <c r="W155" s="160"/>
      <c r="X155" s="158"/>
      <c r="Y155" s="158"/>
      <c r="Z155" s="158"/>
      <c r="AA155" s="158"/>
      <c r="AB155" s="158"/>
      <c r="AC155" s="158"/>
      <c r="AD155" s="156"/>
      <c r="AE155" s="158"/>
      <c r="AF155" s="158"/>
      <c r="AG155" s="162"/>
      <c r="AH155" s="162"/>
      <c r="AI155" s="198"/>
      <c r="AJ155" s="198"/>
      <c r="AK155" s="198"/>
      <c r="AL155" s="198"/>
      <c r="AM155" s="198"/>
      <c r="AN155" s="199"/>
      <c r="AO155" s="199"/>
      <c r="AP155" s="198"/>
      <c r="AQ155" s="198"/>
      <c r="AR155" s="198"/>
      <c r="AS155" s="200"/>
      <c r="AT155" s="200"/>
      <c r="AU155" s="201"/>
      <c r="AV155" s="201"/>
      <c r="AW155" s="190"/>
      <c r="AX155" s="201"/>
      <c r="AY155" s="201"/>
      <c r="AZ155" s="200"/>
      <c r="BA155" s="196"/>
    </row>
    <row r="156" spans="1:54" ht="30" x14ac:dyDescent="0.25">
      <c r="A156" s="201"/>
      <c r="B156" s="202"/>
      <c r="C156" s="200"/>
      <c r="D156" s="41" t="s">
        <v>40</v>
      </c>
      <c r="E156" s="41" t="s">
        <v>41</v>
      </c>
      <c r="F156" s="41">
        <v>1</v>
      </c>
      <c r="G156" s="31" t="s">
        <v>232</v>
      </c>
      <c r="H156" s="32">
        <v>300</v>
      </c>
      <c r="I156" s="32">
        <f t="shared" si="36"/>
        <v>300</v>
      </c>
      <c r="J156" s="32" t="s">
        <v>36</v>
      </c>
      <c r="K156" s="32" t="s">
        <v>36</v>
      </c>
      <c r="L156" s="32">
        <f>I156</f>
        <v>300</v>
      </c>
      <c r="M156" s="154"/>
      <c r="N156" s="154"/>
      <c r="O156" s="154"/>
      <c r="P156" s="154"/>
      <c r="Q156" s="154"/>
      <c r="R156" s="152"/>
      <c r="S156" s="152"/>
      <c r="T156" s="160"/>
      <c r="U156" s="160"/>
      <c r="V156" s="160"/>
      <c r="W156" s="160"/>
      <c r="X156" s="154"/>
      <c r="Y156" s="154"/>
      <c r="Z156" s="154"/>
      <c r="AA156" s="154"/>
      <c r="AB156" s="154"/>
      <c r="AC156" s="154"/>
      <c r="AD156" s="157"/>
      <c r="AE156" s="154"/>
      <c r="AF156" s="154"/>
      <c r="AG156" s="163"/>
      <c r="AH156" s="163"/>
      <c r="AI156" s="198"/>
      <c r="AJ156" s="198"/>
      <c r="AK156" s="198"/>
      <c r="AL156" s="198"/>
      <c r="AM156" s="198"/>
      <c r="AN156" s="199"/>
      <c r="AO156" s="199"/>
      <c r="AP156" s="198"/>
      <c r="AQ156" s="198"/>
      <c r="AR156" s="198"/>
      <c r="AS156" s="200"/>
      <c r="AT156" s="200"/>
      <c r="AU156" s="201"/>
      <c r="AV156" s="201"/>
      <c r="AW156" s="169"/>
      <c r="AX156" s="201"/>
      <c r="AY156" s="201"/>
      <c r="AZ156" s="200"/>
      <c r="BA156" s="196"/>
    </row>
    <row r="157" spans="1:54" ht="63.75" customHeight="1" x14ac:dyDescent="0.25">
      <c r="A157" s="201">
        <v>36</v>
      </c>
      <c r="B157" s="202" t="s">
        <v>238</v>
      </c>
      <c r="C157" s="200">
        <v>110</v>
      </c>
      <c r="D157" s="41" t="s">
        <v>244</v>
      </c>
      <c r="E157" s="41" t="s">
        <v>34</v>
      </c>
      <c r="F157" s="41">
        <v>5</v>
      </c>
      <c r="G157" s="42" t="s">
        <v>243</v>
      </c>
      <c r="H157" s="32">
        <v>286</v>
      </c>
      <c r="I157" s="32">
        <f t="shared" ref="I157:I160" si="37">F157*H157</f>
        <v>1430</v>
      </c>
      <c r="J157" s="32" t="s">
        <v>55</v>
      </c>
      <c r="K157" s="33">
        <v>1.05</v>
      </c>
      <c r="L157" s="32">
        <f>I157*K157</f>
        <v>1501.5</v>
      </c>
      <c r="M157" s="159">
        <f>L157+L158+L159</f>
        <v>3021.42</v>
      </c>
      <c r="N157" s="159">
        <f>M157*0.2</f>
        <v>604.28399999999999</v>
      </c>
      <c r="O157" s="159">
        <f>M157+N157</f>
        <v>3625.7040000000002</v>
      </c>
      <c r="P157" s="159">
        <f>O157*R157*S157*T157</f>
        <v>4081.991655003264</v>
      </c>
      <c r="Q157" s="159">
        <f>SUM(X157:AC159)</f>
        <v>4081.991655003264</v>
      </c>
      <c r="R157" s="160">
        <v>1.032</v>
      </c>
      <c r="S157" s="160">
        <v>1.038</v>
      </c>
      <c r="T157" s="160">
        <v>1.0509999999999999</v>
      </c>
      <c r="U157" s="160">
        <v>1.0429999999999999</v>
      </c>
      <c r="V157" s="160">
        <v>1.042</v>
      </c>
      <c r="W157" s="160">
        <v>1.0409999999999999</v>
      </c>
      <c r="X157" s="159">
        <v>0</v>
      </c>
      <c r="Y157" s="159">
        <v>0</v>
      </c>
      <c r="Z157" s="159">
        <f>O157*R157*S157*T157</f>
        <v>4081.991655003264</v>
      </c>
      <c r="AA157" s="159">
        <v>0</v>
      </c>
      <c r="AB157" s="159">
        <v>0</v>
      </c>
      <c r="AC157" s="159">
        <v>0</v>
      </c>
      <c r="AD157" s="199">
        <f>SUM(L157:L159)*1.2</f>
        <v>3625.7040000000002</v>
      </c>
      <c r="AE157" s="153">
        <f>AD157*AG157*AH157*AI157</f>
        <v>4155.7859855884808</v>
      </c>
      <c r="AF157" s="153">
        <f>AM157+AN157+AO157+AP157+AQ157+AR157</f>
        <v>4155.7859855884808</v>
      </c>
      <c r="AG157" s="198">
        <v>1.032</v>
      </c>
      <c r="AH157" s="198">
        <v>1.038</v>
      </c>
      <c r="AI157" s="198">
        <v>1.07</v>
      </c>
      <c r="AJ157" s="198">
        <v>1.123</v>
      </c>
      <c r="AK157" s="198">
        <v>1.0589999999999999</v>
      </c>
      <c r="AL157" s="198">
        <v>1.0509999999999999</v>
      </c>
      <c r="AM157" s="198">
        <v>0</v>
      </c>
      <c r="AN157" s="199">
        <v>0</v>
      </c>
      <c r="AO157" s="199">
        <f>AD157*AG157*AH157*AI157</f>
        <v>4155.7859855884808</v>
      </c>
      <c r="AP157" s="198">
        <v>0</v>
      </c>
      <c r="AQ157" s="198">
        <v>0</v>
      </c>
      <c r="AR157" s="198">
        <v>0</v>
      </c>
      <c r="AS157" s="200">
        <v>3625.7040000000002</v>
      </c>
      <c r="AT157" s="200">
        <v>5034.6835321110329</v>
      </c>
      <c r="AU157" s="201">
        <v>1.0740000000000001</v>
      </c>
      <c r="AV157" s="201">
        <v>1.0369999999999999</v>
      </c>
      <c r="AW157" s="168">
        <v>1.0389999999999999</v>
      </c>
      <c r="AX157" s="201">
        <v>0</v>
      </c>
      <c r="AY157" s="201">
        <v>0</v>
      </c>
      <c r="AZ157" s="197">
        <v>4195.5696100925279</v>
      </c>
      <c r="BA157" s="196">
        <f>AS9-O9</f>
        <v>0</v>
      </c>
    </row>
    <row r="158" spans="1:54" ht="37.5" customHeight="1" x14ac:dyDescent="0.25">
      <c r="A158" s="201"/>
      <c r="B158" s="202"/>
      <c r="C158" s="200"/>
      <c r="D158" s="41" t="s">
        <v>239</v>
      </c>
      <c r="E158" s="41" t="s">
        <v>241</v>
      </c>
      <c r="F158" s="41">
        <v>1</v>
      </c>
      <c r="G158" s="31" t="s">
        <v>240</v>
      </c>
      <c r="H158" s="32">
        <v>1173</v>
      </c>
      <c r="I158" s="32">
        <f t="shared" si="37"/>
        <v>1173</v>
      </c>
      <c r="J158" s="32" t="s">
        <v>100</v>
      </c>
      <c r="K158" s="33">
        <v>1.04</v>
      </c>
      <c r="L158" s="32">
        <f>I158*K158</f>
        <v>1219.92</v>
      </c>
      <c r="M158" s="159"/>
      <c r="N158" s="159"/>
      <c r="O158" s="159"/>
      <c r="P158" s="159"/>
      <c r="Q158" s="159"/>
      <c r="R158" s="160"/>
      <c r="S158" s="160"/>
      <c r="T158" s="160"/>
      <c r="U158" s="160"/>
      <c r="V158" s="160"/>
      <c r="W158" s="160"/>
      <c r="X158" s="159"/>
      <c r="Y158" s="159"/>
      <c r="Z158" s="159"/>
      <c r="AA158" s="159"/>
      <c r="AB158" s="159"/>
      <c r="AC158" s="159"/>
      <c r="AD158" s="199"/>
      <c r="AE158" s="158"/>
      <c r="AF158" s="158"/>
      <c r="AG158" s="198"/>
      <c r="AH158" s="198"/>
      <c r="AI158" s="198"/>
      <c r="AJ158" s="198"/>
      <c r="AK158" s="198"/>
      <c r="AL158" s="198"/>
      <c r="AM158" s="198"/>
      <c r="AN158" s="199"/>
      <c r="AO158" s="199"/>
      <c r="AP158" s="198"/>
      <c r="AQ158" s="198"/>
      <c r="AR158" s="198"/>
      <c r="AS158" s="200"/>
      <c r="AT158" s="200"/>
      <c r="AU158" s="201"/>
      <c r="AV158" s="201"/>
      <c r="AW158" s="190"/>
      <c r="AX158" s="201"/>
      <c r="AY158" s="201"/>
      <c r="AZ158" s="197"/>
      <c r="BA158" s="196"/>
    </row>
    <row r="159" spans="1:54" ht="75" customHeight="1" x14ac:dyDescent="0.25">
      <c r="A159" s="201"/>
      <c r="B159" s="202"/>
      <c r="C159" s="200"/>
      <c r="D159" s="41" t="s">
        <v>40</v>
      </c>
      <c r="E159" s="41" t="s">
        <v>41</v>
      </c>
      <c r="F159" s="41">
        <v>1</v>
      </c>
      <c r="G159" s="31" t="s">
        <v>242</v>
      </c>
      <c r="H159" s="32">
        <v>300</v>
      </c>
      <c r="I159" s="32">
        <f t="shared" si="37"/>
        <v>300</v>
      </c>
      <c r="J159" s="32" t="s">
        <v>36</v>
      </c>
      <c r="K159" s="32" t="s">
        <v>36</v>
      </c>
      <c r="L159" s="32">
        <f>I159</f>
        <v>300</v>
      </c>
      <c r="M159" s="159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59"/>
      <c r="Y159" s="159"/>
      <c r="Z159" s="159"/>
      <c r="AA159" s="159"/>
      <c r="AB159" s="159"/>
      <c r="AC159" s="159"/>
      <c r="AD159" s="199"/>
      <c r="AE159" s="154"/>
      <c r="AF159" s="154"/>
      <c r="AG159" s="198"/>
      <c r="AH159" s="198"/>
      <c r="AI159" s="198"/>
      <c r="AJ159" s="198"/>
      <c r="AK159" s="198"/>
      <c r="AL159" s="198"/>
      <c r="AM159" s="198"/>
      <c r="AN159" s="199"/>
      <c r="AO159" s="199"/>
      <c r="AP159" s="198"/>
      <c r="AQ159" s="198"/>
      <c r="AR159" s="198"/>
      <c r="AS159" s="200"/>
      <c r="AT159" s="200"/>
      <c r="AU159" s="201"/>
      <c r="AV159" s="201"/>
      <c r="AW159" s="169"/>
      <c r="AX159" s="201"/>
      <c r="AY159" s="201"/>
      <c r="AZ159" s="197"/>
      <c r="BA159" s="196"/>
    </row>
    <row r="160" spans="1:54" ht="80.25" customHeight="1" x14ac:dyDescent="0.25">
      <c r="A160" s="41">
        <v>37</v>
      </c>
      <c r="B160" s="49" t="s">
        <v>252</v>
      </c>
      <c r="C160" s="54">
        <v>110</v>
      </c>
      <c r="D160" s="51" t="s">
        <v>253</v>
      </c>
      <c r="E160" s="41" t="s">
        <v>33</v>
      </c>
      <c r="F160" s="51">
        <v>1</v>
      </c>
      <c r="G160" s="82" t="s">
        <v>254</v>
      </c>
      <c r="H160" s="47">
        <v>58303</v>
      </c>
      <c r="I160" s="47">
        <f t="shared" si="37"/>
        <v>58303</v>
      </c>
      <c r="J160" s="41" t="s">
        <v>92</v>
      </c>
      <c r="K160" s="41">
        <v>1.05</v>
      </c>
      <c r="L160" s="32">
        <f>I160*K160</f>
        <v>61218.15</v>
      </c>
      <c r="M160" s="32">
        <f>SUM(L160)</f>
        <v>61218.15</v>
      </c>
      <c r="N160" s="47">
        <f>M160*0.2</f>
        <v>12243.630000000001</v>
      </c>
      <c r="O160" s="47">
        <f>M160+N160</f>
        <v>73461.78</v>
      </c>
      <c r="P160" s="47">
        <f>O160*R160*S160*T160</f>
        <v>87324.725469864978</v>
      </c>
      <c r="Q160" s="47">
        <f>SUM(X160:AC160)</f>
        <v>91778.286468828082</v>
      </c>
      <c r="R160" s="77">
        <v>1.0680000000000001</v>
      </c>
      <c r="S160" s="77">
        <v>1.056</v>
      </c>
      <c r="T160" s="77">
        <v>1.054</v>
      </c>
      <c r="U160" s="77">
        <v>1.0509999999999999</v>
      </c>
      <c r="V160" s="77">
        <v>1.0489999999999999</v>
      </c>
      <c r="W160" s="77">
        <v>1.0469999999999999</v>
      </c>
      <c r="X160" s="47">
        <v>0</v>
      </c>
      <c r="Y160" s="32">
        <v>0</v>
      </c>
      <c r="Z160" s="32">
        <v>0</v>
      </c>
      <c r="AA160" s="32">
        <f>O160*R160*S160*T160*U160</f>
        <v>91778.286468828082</v>
      </c>
      <c r="AB160" s="32">
        <v>0</v>
      </c>
      <c r="AC160" s="32">
        <v>0</v>
      </c>
      <c r="AD160" s="36">
        <f>L160*1.2</f>
        <v>73461.78</v>
      </c>
      <c r="AE160" s="32">
        <f>AD160*AG160*AH160*AI160*AJ160</f>
        <v>98991.027099976127</v>
      </c>
      <c r="AF160" s="32">
        <f>AM160+AN160+AO160+AP160+AQ160+AR160</f>
        <v>98991.027099976112</v>
      </c>
      <c r="AG160" s="97">
        <v>1.0680000000000001</v>
      </c>
      <c r="AH160" s="97">
        <v>1.056</v>
      </c>
      <c r="AI160" s="97">
        <v>1.0489999999999999</v>
      </c>
      <c r="AJ160" s="97">
        <v>1.139</v>
      </c>
      <c r="AK160" s="97">
        <v>1.0589999999999999</v>
      </c>
      <c r="AL160" s="97">
        <v>1.0529999999999999</v>
      </c>
      <c r="AM160" s="36">
        <v>0</v>
      </c>
      <c r="AN160" s="36">
        <v>0</v>
      </c>
      <c r="AO160" s="36">
        <v>0</v>
      </c>
      <c r="AP160" s="36">
        <f>AD160*AG160*AI160*AJ160*AH160</f>
        <v>98991.027099976112</v>
      </c>
      <c r="AQ160" s="36">
        <v>0</v>
      </c>
      <c r="AR160" s="36">
        <v>0</v>
      </c>
      <c r="AS160" s="32" t="s">
        <v>175</v>
      </c>
      <c r="AT160" s="32" t="s">
        <v>175</v>
      </c>
      <c r="AU160" s="48" t="s">
        <v>175</v>
      </c>
      <c r="AV160" s="48" t="s">
        <v>175</v>
      </c>
      <c r="AW160" s="48" t="s">
        <v>175</v>
      </c>
      <c r="AX160" s="47" t="s">
        <v>175</v>
      </c>
      <c r="AY160" s="47" t="s">
        <v>175</v>
      </c>
      <c r="AZ160" s="84" t="s">
        <v>175</v>
      </c>
      <c r="BA160" s="58" t="s">
        <v>175</v>
      </c>
      <c r="BB160" s="34">
        <f t="shared" ref="BB160" si="38">Q160/1.2</f>
        <v>76481.905390690066</v>
      </c>
    </row>
    <row r="161" spans="1:58" x14ac:dyDescent="0.25">
      <c r="A161" s="201">
        <v>38</v>
      </c>
      <c r="B161" s="166" t="s">
        <v>258</v>
      </c>
      <c r="C161" s="184">
        <v>6</v>
      </c>
      <c r="D161" s="41" t="s">
        <v>38</v>
      </c>
      <c r="E161" s="41" t="s">
        <v>37</v>
      </c>
      <c r="F161" s="41">
        <v>2</v>
      </c>
      <c r="G161" s="42" t="s">
        <v>39</v>
      </c>
      <c r="H161" s="32">
        <v>1663</v>
      </c>
      <c r="I161" s="32">
        <f t="shared" ref="I161:I173" si="39">F161*H161</f>
        <v>3326</v>
      </c>
      <c r="J161" s="32" t="s">
        <v>54</v>
      </c>
      <c r="K161" s="33">
        <v>1.1000000000000001</v>
      </c>
      <c r="L161" s="32">
        <f>I161*K161</f>
        <v>3658.6000000000004</v>
      </c>
      <c r="M161" s="153">
        <f>SUM(L161:L166)</f>
        <v>4887.5035000000007</v>
      </c>
      <c r="N161" s="153">
        <f>M161*0.2</f>
        <v>977.50070000000017</v>
      </c>
      <c r="O161" s="153">
        <f>M161+N161</f>
        <v>5865.0042000000012</v>
      </c>
      <c r="P161" s="153">
        <f>O161*R161*S161*T161</f>
        <v>6603.1033424016687</v>
      </c>
      <c r="Q161" s="153">
        <f>SUM(X161:AC166)</f>
        <v>6887.0367861249397</v>
      </c>
      <c r="R161" s="151">
        <v>1.032</v>
      </c>
      <c r="S161" s="151">
        <v>1.038</v>
      </c>
      <c r="T161" s="160">
        <v>1.0509999999999999</v>
      </c>
      <c r="U161" s="160">
        <v>1.0429999999999999</v>
      </c>
      <c r="V161" s="160">
        <v>1.042</v>
      </c>
      <c r="W161" s="160">
        <v>1.0409999999999999</v>
      </c>
      <c r="X161" s="153">
        <v>0</v>
      </c>
      <c r="Y161" s="153">
        <v>0</v>
      </c>
      <c r="Z161" s="153">
        <v>0</v>
      </c>
      <c r="AA161" s="153">
        <f>O161*R161*S161*T161*U161</f>
        <v>6887.0367861249397</v>
      </c>
      <c r="AB161" s="153">
        <v>0</v>
      </c>
      <c r="AC161" s="153">
        <v>0</v>
      </c>
      <c r="AD161" s="155">
        <f>SUM(L161:L166)*1.2</f>
        <v>5865.0042000000003</v>
      </c>
      <c r="AE161" s="153">
        <f>AD161*AG161*AH161*AI161*AJ161</f>
        <v>7546.5165492310771</v>
      </c>
      <c r="AF161" s="153">
        <f>AM161+AN161+AO161+AP161+AQ161+AR161</f>
        <v>7546.5165492310771</v>
      </c>
      <c r="AG161" s="161">
        <v>1.032</v>
      </c>
      <c r="AH161" s="161">
        <v>1.038</v>
      </c>
      <c r="AI161" s="198">
        <v>1.0696000000000001</v>
      </c>
      <c r="AJ161" s="198">
        <v>1.123</v>
      </c>
      <c r="AK161" s="198">
        <v>1.0589999999999999</v>
      </c>
      <c r="AL161" s="198">
        <v>1.0509999999999999</v>
      </c>
      <c r="AM161" s="198">
        <v>0</v>
      </c>
      <c r="AN161" s="199">
        <v>0</v>
      </c>
      <c r="AO161" s="198">
        <v>0</v>
      </c>
      <c r="AP161" s="199">
        <f>AD161*AG161*AH161*AI161*AJ161</f>
        <v>7546.5165492310771</v>
      </c>
      <c r="AQ161" s="198">
        <v>0</v>
      </c>
      <c r="AR161" s="198">
        <v>0</v>
      </c>
      <c r="AS161" s="200">
        <v>3275.0484000000001</v>
      </c>
      <c r="AT161" s="159">
        <v>4377.0550259030397</v>
      </c>
      <c r="AU161" s="160">
        <v>1.0740000000000001</v>
      </c>
      <c r="AV161" s="160">
        <v>1.0369999999999999</v>
      </c>
      <c r="AW161" s="151">
        <v>1.0389999999999999</v>
      </c>
      <c r="AX161" s="159">
        <v>0</v>
      </c>
      <c r="AY161" s="159">
        <v>4377.0550259030397</v>
      </c>
      <c r="AZ161" s="159">
        <v>0</v>
      </c>
      <c r="BA161" s="196">
        <f>AS31-O31</f>
        <v>0</v>
      </c>
    </row>
    <row r="162" spans="1:58" ht="104.25" customHeight="1" x14ac:dyDescent="0.25">
      <c r="A162" s="201"/>
      <c r="B162" s="191"/>
      <c r="C162" s="185"/>
      <c r="D162" s="41" t="s">
        <v>42</v>
      </c>
      <c r="E162" s="41" t="s">
        <v>34</v>
      </c>
      <c r="F162" s="41">
        <v>0.51600000000000001</v>
      </c>
      <c r="G162" s="31" t="s">
        <v>43</v>
      </c>
      <c r="H162" s="32">
        <v>699</v>
      </c>
      <c r="I162" s="32">
        <f t="shared" si="39"/>
        <v>360.68400000000003</v>
      </c>
      <c r="J162" s="32" t="s">
        <v>55</v>
      </c>
      <c r="K162" s="33">
        <v>1.05</v>
      </c>
      <c r="L162" s="32">
        <f>I162*K162</f>
        <v>378.71820000000002</v>
      </c>
      <c r="M162" s="158"/>
      <c r="N162" s="158"/>
      <c r="O162" s="158"/>
      <c r="P162" s="158"/>
      <c r="Q162" s="158"/>
      <c r="R162" s="183"/>
      <c r="S162" s="183"/>
      <c r="T162" s="160"/>
      <c r="U162" s="160"/>
      <c r="V162" s="160"/>
      <c r="W162" s="160"/>
      <c r="X162" s="158"/>
      <c r="Y162" s="158"/>
      <c r="Z162" s="158"/>
      <c r="AA162" s="158"/>
      <c r="AB162" s="158"/>
      <c r="AC162" s="158"/>
      <c r="AD162" s="156"/>
      <c r="AE162" s="158"/>
      <c r="AF162" s="158"/>
      <c r="AG162" s="162"/>
      <c r="AH162" s="162"/>
      <c r="AI162" s="198"/>
      <c r="AJ162" s="198"/>
      <c r="AK162" s="198"/>
      <c r="AL162" s="198"/>
      <c r="AM162" s="198"/>
      <c r="AN162" s="199"/>
      <c r="AO162" s="198"/>
      <c r="AP162" s="199"/>
      <c r="AQ162" s="198"/>
      <c r="AR162" s="198"/>
      <c r="AS162" s="200"/>
      <c r="AT162" s="159"/>
      <c r="AU162" s="160"/>
      <c r="AV162" s="160"/>
      <c r="AW162" s="183"/>
      <c r="AX162" s="159"/>
      <c r="AY162" s="159"/>
      <c r="AZ162" s="159"/>
      <c r="BA162" s="196"/>
    </row>
    <row r="163" spans="1:58" ht="66" customHeight="1" x14ac:dyDescent="0.25">
      <c r="A163" s="201"/>
      <c r="B163" s="191"/>
      <c r="C163" s="185"/>
      <c r="D163" s="41" t="s">
        <v>44</v>
      </c>
      <c r="E163" s="41" t="s">
        <v>45</v>
      </c>
      <c r="F163" s="41">
        <v>23</v>
      </c>
      <c r="G163" s="31" t="s">
        <v>46</v>
      </c>
      <c r="H163" s="32">
        <v>17</v>
      </c>
      <c r="I163" s="32">
        <f t="shared" si="39"/>
        <v>391</v>
      </c>
      <c r="J163" s="32" t="s">
        <v>55</v>
      </c>
      <c r="K163" s="33">
        <v>1.05</v>
      </c>
      <c r="L163" s="32">
        <f>I163*K163</f>
        <v>410.55</v>
      </c>
      <c r="M163" s="158"/>
      <c r="N163" s="158"/>
      <c r="O163" s="158"/>
      <c r="P163" s="158"/>
      <c r="Q163" s="158"/>
      <c r="R163" s="183"/>
      <c r="S163" s="183"/>
      <c r="T163" s="160"/>
      <c r="U163" s="160"/>
      <c r="V163" s="160"/>
      <c r="W163" s="160"/>
      <c r="X163" s="158"/>
      <c r="Y163" s="158"/>
      <c r="Z163" s="158"/>
      <c r="AA163" s="158"/>
      <c r="AB163" s="158"/>
      <c r="AC163" s="158"/>
      <c r="AD163" s="156"/>
      <c r="AE163" s="158"/>
      <c r="AF163" s="158"/>
      <c r="AG163" s="162"/>
      <c r="AH163" s="162"/>
      <c r="AI163" s="198"/>
      <c r="AJ163" s="198"/>
      <c r="AK163" s="198"/>
      <c r="AL163" s="198"/>
      <c r="AM163" s="198"/>
      <c r="AN163" s="199"/>
      <c r="AO163" s="198"/>
      <c r="AP163" s="199"/>
      <c r="AQ163" s="198"/>
      <c r="AR163" s="198"/>
      <c r="AS163" s="200"/>
      <c r="AT163" s="159"/>
      <c r="AU163" s="160"/>
      <c r="AV163" s="160"/>
      <c r="AW163" s="183"/>
      <c r="AX163" s="159"/>
      <c r="AY163" s="159"/>
      <c r="AZ163" s="159"/>
      <c r="BA163" s="196"/>
    </row>
    <row r="164" spans="1:58" ht="59.25" customHeight="1" x14ac:dyDescent="0.25">
      <c r="A164" s="201"/>
      <c r="B164" s="191"/>
      <c r="C164" s="185"/>
      <c r="D164" s="41" t="s">
        <v>57</v>
      </c>
      <c r="E164" s="41" t="s">
        <v>34</v>
      </c>
      <c r="F164" s="41">
        <v>0.32200000000000001</v>
      </c>
      <c r="G164" s="31" t="s">
        <v>58</v>
      </c>
      <c r="H164" s="32">
        <v>413</v>
      </c>
      <c r="I164" s="32">
        <f t="shared" si="39"/>
        <v>132.98599999999999</v>
      </c>
      <c r="J164" s="32" t="s">
        <v>55</v>
      </c>
      <c r="K164" s="33">
        <v>1.05</v>
      </c>
      <c r="L164" s="32">
        <f>I164*K164</f>
        <v>139.6353</v>
      </c>
      <c r="M164" s="158"/>
      <c r="N164" s="158"/>
      <c r="O164" s="158"/>
      <c r="P164" s="158"/>
      <c r="Q164" s="158"/>
      <c r="R164" s="183"/>
      <c r="S164" s="183"/>
      <c r="T164" s="160"/>
      <c r="U164" s="160"/>
      <c r="V164" s="160"/>
      <c r="W164" s="160"/>
      <c r="X164" s="158"/>
      <c r="Y164" s="158"/>
      <c r="Z164" s="158"/>
      <c r="AA164" s="158"/>
      <c r="AB164" s="158"/>
      <c r="AC164" s="158"/>
      <c r="AD164" s="156"/>
      <c r="AE164" s="158"/>
      <c r="AF164" s="158"/>
      <c r="AG164" s="162"/>
      <c r="AH164" s="162"/>
      <c r="AI164" s="198"/>
      <c r="AJ164" s="198"/>
      <c r="AK164" s="198"/>
      <c r="AL164" s="198"/>
      <c r="AM164" s="198"/>
      <c r="AN164" s="199"/>
      <c r="AO164" s="198"/>
      <c r="AP164" s="199"/>
      <c r="AQ164" s="198"/>
      <c r="AR164" s="198"/>
      <c r="AS164" s="200"/>
      <c r="AT164" s="159"/>
      <c r="AU164" s="160"/>
      <c r="AV164" s="160"/>
      <c r="AW164" s="183"/>
      <c r="AX164" s="159"/>
      <c r="AY164" s="159"/>
      <c r="AZ164" s="159"/>
      <c r="BA164" s="196"/>
    </row>
    <row r="165" spans="1:58" ht="88.5" customHeight="1" x14ac:dyDescent="0.25">
      <c r="A165" s="201"/>
      <c r="B165" s="191"/>
      <c r="C165" s="185"/>
      <c r="D165" s="41" t="s">
        <v>48</v>
      </c>
      <c r="E165" s="41" t="s">
        <v>49</v>
      </c>
      <c r="F165" s="41"/>
      <c r="G165" s="31" t="s">
        <v>51</v>
      </c>
      <c r="H165" s="32">
        <v>187</v>
      </c>
      <c r="I165" s="32">
        <f t="shared" si="39"/>
        <v>0</v>
      </c>
      <c r="J165" s="32" t="s">
        <v>36</v>
      </c>
      <c r="K165" s="33" t="s">
        <v>36</v>
      </c>
      <c r="L165" s="32">
        <f>I165</f>
        <v>0</v>
      </c>
      <c r="M165" s="158"/>
      <c r="N165" s="158"/>
      <c r="O165" s="158"/>
      <c r="P165" s="158"/>
      <c r="Q165" s="158"/>
      <c r="R165" s="183"/>
      <c r="S165" s="183"/>
      <c r="T165" s="160"/>
      <c r="U165" s="160"/>
      <c r="V165" s="160"/>
      <c r="W165" s="160"/>
      <c r="X165" s="158"/>
      <c r="Y165" s="158"/>
      <c r="Z165" s="158"/>
      <c r="AA165" s="158"/>
      <c r="AB165" s="158"/>
      <c r="AC165" s="158"/>
      <c r="AD165" s="156"/>
      <c r="AE165" s="158"/>
      <c r="AF165" s="158"/>
      <c r="AG165" s="162"/>
      <c r="AH165" s="162"/>
      <c r="AI165" s="198"/>
      <c r="AJ165" s="198"/>
      <c r="AK165" s="198"/>
      <c r="AL165" s="198"/>
      <c r="AM165" s="198"/>
      <c r="AN165" s="199"/>
      <c r="AO165" s="198"/>
      <c r="AP165" s="199"/>
      <c r="AQ165" s="198"/>
      <c r="AR165" s="198"/>
      <c r="AS165" s="200"/>
      <c r="AT165" s="159"/>
      <c r="AU165" s="160"/>
      <c r="AV165" s="160"/>
      <c r="AW165" s="183"/>
      <c r="AX165" s="159"/>
      <c r="AY165" s="159"/>
      <c r="AZ165" s="159"/>
      <c r="BA165" s="196"/>
      <c r="BF165" s="71"/>
    </row>
    <row r="166" spans="1:58" ht="30" x14ac:dyDescent="0.25">
      <c r="A166" s="201"/>
      <c r="B166" s="167"/>
      <c r="C166" s="186"/>
      <c r="D166" s="41" t="s">
        <v>40</v>
      </c>
      <c r="E166" s="41" t="s">
        <v>41</v>
      </c>
      <c r="F166" s="41">
        <v>1</v>
      </c>
      <c r="G166" s="31" t="s">
        <v>232</v>
      </c>
      <c r="H166" s="32">
        <v>300</v>
      </c>
      <c r="I166" s="32">
        <f t="shared" si="39"/>
        <v>300</v>
      </c>
      <c r="J166" s="32" t="s">
        <v>36</v>
      </c>
      <c r="K166" s="32" t="s">
        <v>36</v>
      </c>
      <c r="L166" s="32">
        <f>I166</f>
        <v>300</v>
      </c>
      <c r="M166" s="154"/>
      <c r="N166" s="154"/>
      <c r="O166" s="154"/>
      <c r="P166" s="154"/>
      <c r="Q166" s="154"/>
      <c r="R166" s="152"/>
      <c r="S166" s="152"/>
      <c r="T166" s="160"/>
      <c r="U166" s="160"/>
      <c r="V166" s="160"/>
      <c r="W166" s="160"/>
      <c r="X166" s="154"/>
      <c r="Y166" s="154"/>
      <c r="Z166" s="154"/>
      <c r="AA166" s="154"/>
      <c r="AB166" s="154"/>
      <c r="AC166" s="154"/>
      <c r="AD166" s="157"/>
      <c r="AE166" s="154"/>
      <c r="AF166" s="154"/>
      <c r="AG166" s="163"/>
      <c r="AH166" s="163"/>
      <c r="AI166" s="198"/>
      <c r="AJ166" s="198"/>
      <c r="AK166" s="198"/>
      <c r="AL166" s="198"/>
      <c r="AM166" s="198"/>
      <c r="AN166" s="199"/>
      <c r="AO166" s="198"/>
      <c r="AP166" s="199"/>
      <c r="AQ166" s="198"/>
      <c r="AR166" s="198"/>
      <c r="AS166" s="200"/>
      <c r="AT166" s="159"/>
      <c r="AU166" s="160"/>
      <c r="AV166" s="160"/>
      <c r="AW166" s="152"/>
      <c r="AX166" s="159"/>
      <c r="AY166" s="159"/>
      <c r="AZ166" s="159"/>
      <c r="BA166" s="196"/>
      <c r="BF166" s="71"/>
    </row>
    <row r="167" spans="1:58" ht="99" customHeight="1" x14ac:dyDescent="0.25">
      <c r="A167" s="201">
        <v>39</v>
      </c>
      <c r="B167" s="166" t="s">
        <v>262</v>
      </c>
      <c r="C167" s="184">
        <v>6</v>
      </c>
      <c r="D167" s="41" t="s">
        <v>42</v>
      </c>
      <c r="E167" s="41" t="s">
        <v>34</v>
      </c>
      <c r="F167" s="41">
        <v>1.4390000000000001</v>
      </c>
      <c r="G167" s="31" t="s">
        <v>43</v>
      </c>
      <c r="H167" s="32">
        <v>699</v>
      </c>
      <c r="I167" s="32">
        <f t="shared" ref="I167" si="40">F167*H167</f>
        <v>1005.861</v>
      </c>
      <c r="J167" s="32" t="s">
        <v>55</v>
      </c>
      <c r="K167" s="33">
        <v>1.05</v>
      </c>
      <c r="L167" s="32">
        <f>I167*K167</f>
        <v>1056.1540500000001</v>
      </c>
      <c r="M167" s="153">
        <f>SUM(L167:L172)</f>
        <v>6576.9195000000009</v>
      </c>
      <c r="N167" s="153">
        <f>M167*0.2</f>
        <v>1315.3839000000003</v>
      </c>
      <c r="O167" s="153">
        <f>M167+N167</f>
        <v>7892.3034000000007</v>
      </c>
      <c r="P167" s="153">
        <f>O167*R167*S167*T167</f>
        <v>8885.5341245600557</v>
      </c>
      <c r="Q167" s="153">
        <f>SUM(X167:AC172)</f>
        <v>9267.6120919161367</v>
      </c>
      <c r="R167" s="151">
        <v>1.032</v>
      </c>
      <c r="S167" s="151">
        <v>1.038</v>
      </c>
      <c r="T167" s="160">
        <v>1.0509999999999999</v>
      </c>
      <c r="U167" s="160">
        <v>1.0429999999999999</v>
      </c>
      <c r="V167" s="160">
        <v>1.042</v>
      </c>
      <c r="W167" s="160">
        <v>1.0409999999999999</v>
      </c>
      <c r="X167" s="153">
        <v>0</v>
      </c>
      <c r="Y167" s="153">
        <v>0</v>
      </c>
      <c r="Z167" s="153">
        <v>0</v>
      </c>
      <c r="AA167" s="153">
        <f>O167*R167*S167*T167*U167</f>
        <v>9267.6120919161367</v>
      </c>
      <c r="AB167" s="153">
        <v>0</v>
      </c>
      <c r="AC167" s="153">
        <v>0</v>
      </c>
      <c r="AD167" s="155">
        <f>SUM(L167:L172)*1.2</f>
        <v>7892.3034000000007</v>
      </c>
      <c r="AE167" s="153">
        <f>AD167*AG167*AH167*AI167*AJ167</f>
        <v>10155.047837758189</v>
      </c>
      <c r="AF167" s="153">
        <f>AM167+AN167+AO167+AP167+AQ167+AR167</f>
        <v>10155.047837758189</v>
      </c>
      <c r="AG167" s="161">
        <v>1.032</v>
      </c>
      <c r="AH167" s="161">
        <v>1.038</v>
      </c>
      <c r="AI167" s="161">
        <v>1.0696000000000001</v>
      </c>
      <c r="AJ167" s="161">
        <v>1.123</v>
      </c>
      <c r="AK167" s="161">
        <v>1.0589999999999999</v>
      </c>
      <c r="AL167" s="161">
        <v>1.0509999999999999</v>
      </c>
      <c r="AM167" s="198">
        <v>0</v>
      </c>
      <c r="AN167" s="199">
        <v>0</v>
      </c>
      <c r="AO167" s="198">
        <v>0</v>
      </c>
      <c r="AP167" s="155">
        <f>AD167*AG167*AI167*AJ167*AH167</f>
        <v>10155.047837758189</v>
      </c>
      <c r="AQ167" s="198">
        <v>0</v>
      </c>
      <c r="AR167" s="198">
        <v>0</v>
      </c>
      <c r="AS167" s="200">
        <v>3275.0484000000001</v>
      </c>
      <c r="AT167" s="159">
        <v>4377.0550259030397</v>
      </c>
      <c r="AU167" s="160">
        <v>1.0740000000000001</v>
      </c>
      <c r="AV167" s="160">
        <v>1.0369999999999999</v>
      </c>
      <c r="AW167" s="151">
        <v>1.0389999999999999</v>
      </c>
      <c r="AX167" s="159">
        <v>0</v>
      </c>
      <c r="AY167" s="159">
        <v>4377.0550259030397</v>
      </c>
      <c r="AZ167" s="159">
        <v>0</v>
      </c>
      <c r="BA167" s="196" t="e">
        <f>#REF!-#REF!</f>
        <v>#REF!</v>
      </c>
      <c r="BF167" s="67"/>
    </row>
    <row r="168" spans="1:58" ht="66" customHeight="1" x14ac:dyDescent="0.25">
      <c r="A168" s="201"/>
      <c r="B168" s="191"/>
      <c r="C168" s="185"/>
      <c r="D168" s="41" t="s">
        <v>44</v>
      </c>
      <c r="E168" s="41" t="s">
        <v>45</v>
      </c>
      <c r="F168" s="41">
        <v>43.875</v>
      </c>
      <c r="G168" s="31" t="s">
        <v>46</v>
      </c>
      <c r="H168" s="32">
        <v>17</v>
      </c>
      <c r="I168" s="32">
        <f>F168*H168</f>
        <v>745.875</v>
      </c>
      <c r="J168" s="32" t="s">
        <v>55</v>
      </c>
      <c r="K168" s="33">
        <v>1.05</v>
      </c>
      <c r="L168" s="32">
        <f>I168*K168</f>
        <v>783.16875000000005</v>
      </c>
      <c r="M168" s="158"/>
      <c r="N168" s="158"/>
      <c r="O168" s="158"/>
      <c r="P168" s="158"/>
      <c r="Q168" s="158"/>
      <c r="R168" s="183"/>
      <c r="S168" s="183"/>
      <c r="T168" s="160"/>
      <c r="U168" s="160"/>
      <c r="V168" s="160"/>
      <c r="W168" s="160"/>
      <c r="X168" s="158"/>
      <c r="Y168" s="158"/>
      <c r="Z168" s="158"/>
      <c r="AA168" s="158"/>
      <c r="AB168" s="158"/>
      <c r="AC168" s="158"/>
      <c r="AD168" s="156"/>
      <c r="AE168" s="158"/>
      <c r="AF168" s="158"/>
      <c r="AG168" s="162"/>
      <c r="AH168" s="162"/>
      <c r="AI168" s="162"/>
      <c r="AJ168" s="162"/>
      <c r="AK168" s="162"/>
      <c r="AL168" s="162"/>
      <c r="AM168" s="198"/>
      <c r="AN168" s="199"/>
      <c r="AO168" s="198"/>
      <c r="AP168" s="156"/>
      <c r="AQ168" s="198"/>
      <c r="AR168" s="198"/>
      <c r="AS168" s="200"/>
      <c r="AT168" s="159"/>
      <c r="AU168" s="160"/>
      <c r="AV168" s="160"/>
      <c r="AW168" s="183"/>
      <c r="AX168" s="159"/>
      <c r="AY168" s="159"/>
      <c r="AZ168" s="159"/>
      <c r="BA168" s="196"/>
      <c r="BF168" s="71"/>
    </row>
    <row r="169" spans="1:58" ht="90" customHeight="1" x14ac:dyDescent="0.25">
      <c r="A169" s="201"/>
      <c r="B169" s="191"/>
      <c r="C169" s="185"/>
      <c r="D169" s="41" t="s">
        <v>269</v>
      </c>
      <c r="E169" s="41" t="s">
        <v>34</v>
      </c>
      <c r="F169" s="41">
        <v>4.3170000000000002</v>
      </c>
      <c r="G169" s="31" t="s">
        <v>268</v>
      </c>
      <c r="H169" s="32">
        <v>431</v>
      </c>
      <c r="I169" s="32">
        <f t="shared" si="39"/>
        <v>1860.6270000000002</v>
      </c>
      <c r="J169" s="32" t="s">
        <v>55</v>
      </c>
      <c r="K169" s="33">
        <v>1.05</v>
      </c>
      <c r="L169" s="32">
        <f>I169*K169</f>
        <v>1953.6583500000004</v>
      </c>
      <c r="M169" s="158"/>
      <c r="N169" s="158"/>
      <c r="O169" s="158"/>
      <c r="P169" s="158"/>
      <c r="Q169" s="158"/>
      <c r="R169" s="183"/>
      <c r="S169" s="183"/>
      <c r="T169" s="160"/>
      <c r="U169" s="160"/>
      <c r="V169" s="160"/>
      <c r="W169" s="160"/>
      <c r="X169" s="158"/>
      <c r="Y169" s="158"/>
      <c r="Z169" s="158"/>
      <c r="AA169" s="158"/>
      <c r="AB169" s="158"/>
      <c r="AC169" s="158"/>
      <c r="AD169" s="156"/>
      <c r="AE169" s="158"/>
      <c r="AF169" s="158"/>
      <c r="AG169" s="162"/>
      <c r="AH169" s="162"/>
      <c r="AI169" s="162"/>
      <c r="AJ169" s="162"/>
      <c r="AK169" s="162"/>
      <c r="AL169" s="162"/>
      <c r="AM169" s="198"/>
      <c r="AN169" s="199"/>
      <c r="AO169" s="198"/>
      <c r="AP169" s="156"/>
      <c r="AQ169" s="198"/>
      <c r="AR169" s="198"/>
      <c r="AS169" s="200"/>
      <c r="AT169" s="159"/>
      <c r="AU169" s="160"/>
      <c r="AV169" s="160"/>
      <c r="AW169" s="183"/>
      <c r="AX169" s="159"/>
      <c r="AY169" s="159"/>
      <c r="AZ169" s="159"/>
      <c r="BA169" s="196"/>
    </row>
    <row r="170" spans="1:58" ht="88.5" customHeight="1" x14ac:dyDescent="0.25">
      <c r="A170" s="201"/>
      <c r="B170" s="191"/>
      <c r="C170" s="185"/>
      <c r="D170" s="41" t="s">
        <v>48</v>
      </c>
      <c r="E170" s="41" t="s">
        <v>49</v>
      </c>
      <c r="F170" s="41">
        <v>1.44</v>
      </c>
      <c r="G170" s="31" t="s">
        <v>51</v>
      </c>
      <c r="H170" s="32">
        <v>187</v>
      </c>
      <c r="I170" s="32">
        <f t="shared" ref="I170" si="41">F170*H170</f>
        <v>269.27999999999997</v>
      </c>
      <c r="J170" s="32" t="s">
        <v>36</v>
      </c>
      <c r="K170" s="33" t="s">
        <v>36</v>
      </c>
      <c r="L170" s="32">
        <f>I170</f>
        <v>269.27999999999997</v>
      </c>
      <c r="M170" s="158"/>
      <c r="N170" s="158"/>
      <c r="O170" s="158"/>
      <c r="P170" s="158"/>
      <c r="Q170" s="158"/>
      <c r="R170" s="183"/>
      <c r="S170" s="183"/>
      <c r="T170" s="160"/>
      <c r="U170" s="160"/>
      <c r="V170" s="160"/>
      <c r="W170" s="160"/>
      <c r="X170" s="158"/>
      <c r="Y170" s="158"/>
      <c r="Z170" s="158"/>
      <c r="AA170" s="158"/>
      <c r="AB170" s="158"/>
      <c r="AC170" s="158"/>
      <c r="AD170" s="156"/>
      <c r="AE170" s="158"/>
      <c r="AF170" s="158"/>
      <c r="AG170" s="162"/>
      <c r="AH170" s="162"/>
      <c r="AI170" s="162"/>
      <c r="AJ170" s="162"/>
      <c r="AK170" s="162"/>
      <c r="AL170" s="162"/>
      <c r="AM170" s="198"/>
      <c r="AN170" s="199"/>
      <c r="AO170" s="198"/>
      <c r="AP170" s="156"/>
      <c r="AQ170" s="198"/>
      <c r="AR170" s="198"/>
      <c r="AS170" s="200"/>
      <c r="AT170" s="159"/>
      <c r="AU170" s="160"/>
      <c r="AV170" s="160"/>
      <c r="AW170" s="183"/>
      <c r="AX170" s="159"/>
      <c r="AY170" s="159"/>
      <c r="AZ170" s="159"/>
      <c r="BA170" s="196"/>
    </row>
    <row r="171" spans="1:58" ht="45" customHeight="1" x14ac:dyDescent="0.25">
      <c r="A171" s="201"/>
      <c r="B171" s="191"/>
      <c r="C171" s="185"/>
      <c r="D171" s="41" t="s">
        <v>271</v>
      </c>
      <c r="E171" s="41" t="s">
        <v>34</v>
      </c>
      <c r="F171" s="41">
        <v>80</v>
      </c>
      <c r="G171" s="31" t="s">
        <v>270</v>
      </c>
      <c r="H171" s="32">
        <v>2058</v>
      </c>
      <c r="I171" s="32">
        <f t="shared" si="39"/>
        <v>164640</v>
      </c>
      <c r="J171" s="32" t="s">
        <v>272</v>
      </c>
      <c r="K171" s="33">
        <v>1.1200000000000001</v>
      </c>
      <c r="L171" s="32">
        <v>1953.6583500000004</v>
      </c>
      <c r="M171" s="158"/>
      <c r="N171" s="158"/>
      <c r="O171" s="158"/>
      <c r="P171" s="158"/>
      <c r="Q171" s="158"/>
      <c r="R171" s="183"/>
      <c r="S171" s="183"/>
      <c r="T171" s="160"/>
      <c r="U171" s="160"/>
      <c r="V171" s="160"/>
      <c r="W171" s="160"/>
      <c r="X171" s="158"/>
      <c r="Y171" s="158"/>
      <c r="Z171" s="158"/>
      <c r="AA171" s="158"/>
      <c r="AB171" s="158"/>
      <c r="AC171" s="158"/>
      <c r="AD171" s="156"/>
      <c r="AE171" s="158"/>
      <c r="AF171" s="158"/>
      <c r="AG171" s="162"/>
      <c r="AH171" s="162"/>
      <c r="AI171" s="162"/>
      <c r="AJ171" s="162"/>
      <c r="AK171" s="162"/>
      <c r="AL171" s="162"/>
      <c r="AM171" s="198"/>
      <c r="AN171" s="199"/>
      <c r="AO171" s="198"/>
      <c r="AP171" s="156"/>
      <c r="AQ171" s="198"/>
      <c r="AR171" s="198"/>
      <c r="AS171" s="200"/>
      <c r="AT171" s="159"/>
      <c r="AU171" s="160"/>
      <c r="AV171" s="160"/>
      <c r="AW171" s="183"/>
      <c r="AX171" s="159"/>
      <c r="AY171" s="159"/>
      <c r="AZ171" s="159"/>
      <c r="BA171" s="196"/>
    </row>
    <row r="172" spans="1:58" ht="30" x14ac:dyDescent="0.25">
      <c r="A172" s="201"/>
      <c r="B172" s="167"/>
      <c r="C172" s="186"/>
      <c r="D172" s="41" t="s">
        <v>265</v>
      </c>
      <c r="E172" s="41" t="s">
        <v>207</v>
      </c>
      <c r="F172" s="41">
        <v>1</v>
      </c>
      <c r="G172" s="31" t="s">
        <v>266</v>
      </c>
      <c r="H172" s="32">
        <v>561</v>
      </c>
      <c r="I172" s="32">
        <f t="shared" si="39"/>
        <v>561</v>
      </c>
      <c r="J172" s="32" t="s">
        <v>36</v>
      </c>
      <c r="K172" s="32" t="s">
        <v>36</v>
      </c>
      <c r="L172" s="32">
        <f>I172</f>
        <v>561</v>
      </c>
      <c r="M172" s="154"/>
      <c r="N172" s="154"/>
      <c r="O172" s="154"/>
      <c r="P172" s="154"/>
      <c r="Q172" s="154"/>
      <c r="R172" s="152"/>
      <c r="S172" s="152"/>
      <c r="T172" s="160"/>
      <c r="U172" s="160"/>
      <c r="V172" s="160"/>
      <c r="W172" s="160"/>
      <c r="X172" s="154"/>
      <c r="Y172" s="154"/>
      <c r="Z172" s="154"/>
      <c r="AA172" s="154"/>
      <c r="AB172" s="154"/>
      <c r="AC172" s="154"/>
      <c r="AD172" s="157"/>
      <c r="AE172" s="154"/>
      <c r="AF172" s="154"/>
      <c r="AG172" s="163"/>
      <c r="AH172" s="163"/>
      <c r="AI172" s="163"/>
      <c r="AJ172" s="163"/>
      <c r="AK172" s="163"/>
      <c r="AL172" s="163"/>
      <c r="AM172" s="198"/>
      <c r="AN172" s="199"/>
      <c r="AO172" s="198"/>
      <c r="AP172" s="157"/>
      <c r="AQ172" s="198"/>
      <c r="AR172" s="198"/>
      <c r="AS172" s="200"/>
      <c r="AT172" s="159"/>
      <c r="AU172" s="160"/>
      <c r="AV172" s="160"/>
      <c r="AW172" s="152"/>
      <c r="AX172" s="159"/>
      <c r="AY172" s="159"/>
      <c r="AZ172" s="159"/>
      <c r="BA172" s="196"/>
    </row>
    <row r="173" spans="1:58" ht="90" x14ac:dyDescent="0.25">
      <c r="A173" s="201">
        <v>40</v>
      </c>
      <c r="B173" s="166" t="s">
        <v>263</v>
      </c>
      <c r="C173" s="184">
        <v>6</v>
      </c>
      <c r="D173" s="41" t="s">
        <v>42</v>
      </c>
      <c r="E173" s="41" t="s">
        <v>34</v>
      </c>
      <c r="F173" s="41">
        <v>1.4590000000000001</v>
      </c>
      <c r="G173" s="31" t="s">
        <v>43</v>
      </c>
      <c r="H173" s="32">
        <v>699</v>
      </c>
      <c r="I173" s="32">
        <f t="shared" si="39"/>
        <v>1019.841</v>
      </c>
      <c r="J173" s="32" t="s">
        <v>55</v>
      </c>
      <c r="K173" s="33">
        <v>1.05</v>
      </c>
      <c r="L173" s="32">
        <f>I173*K173</f>
        <v>1070.83305</v>
      </c>
      <c r="M173" s="153">
        <f>SUM(L173:L178)</f>
        <v>6642.5727500000003</v>
      </c>
      <c r="N173" s="153">
        <f>M173*0.2</f>
        <v>1328.5145500000001</v>
      </c>
      <c r="O173" s="153">
        <f>M173+N173</f>
        <v>7971.0873000000001</v>
      </c>
      <c r="P173" s="153">
        <f>O173*R173*S173*T173</f>
        <v>8974.2328220677955</v>
      </c>
      <c r="Q173" s="153">
        <f>SUM(X173:AC178)</f>
        <v>9360.1248334167103</v>
      </c>
      <c r="R173" s="151">
        <v>1.032</v>
      </c>
      <c r="S173" s="151">
        <v>1.038</v>
      </c>
      <c r="T173" s="160">
        <v>1.0509999999999999</v>
      </c>
      <c r="U173" s="160">
        <v>1.0429999999999999</v>
      </c>
      <c r="V173" s="160">
        <v>1.042</v>
      </c>
      <c r="W173" s="160">
        <v>1.0409999999999999</v>
      </c>
      <c r="X173" s="153">
        <v>0</v>
      </c>
      <c r="Y173" s="153">
        <v>0</v>
      </c>
      <c r="Z173" s="153">
        <v>0</v>
      </c>
      <c r="AA173" s="153">
        <f>O173*R173*S173*T173*U173</f>
        <v>9360.1248334167103</v>
      </c>
      <c r="AB173" s="153">
        <v>0</v>
      </c>
      <c r="AC173" s="153">
        <v>0</v>
      </c>
      <c r="AD173" s="155">
        <f>SUM(L173:L178)*1.2</f>
        <v>7971.0873000000001</v>
      </c>
      <c r="AE173" s="153">
        <f>AD173*AG173*AH173*AI173*AJ173</f>
        <v>10256.419292046825</v>
      </c>
      <c r="AF173" s="153">
        <f>AM173+AN173+AO173+AP173+AQ173+AR173</f>
        <v>10256.419292046827</v>
      </c>
      <c r="AG173" s="161">
        <v>1.032</v>
      </c>
      <c r="AH173" s="161">
        <v>1.038</v>
      </c>
      <c r="AI173" s="198">
        <v>1.0696000000000001</v>
      </c>
      <c r="AJ173" s="198">
        <v>1.123</v>
      </c>
      <c r="AK173" s="198">
        <v>1.0589999999999999</v>
      </c>
      <c r="AL173" s="198">
        <v>1.0509999999999999</v>
      </c>
      <c r="AM173" s="198">
        <v>0</v>
      </c>
      <c r="AN173" s="199">
        <v>0</v>
      </c>
      <c r="AO173" s="198">
        <v>0</v>
      </c>
      <c r="AP173" s="155">
        <f>AD173*AG173*AI173*AJ173*AH173</f>
        <v>10256.419292046827</v>
      </c>
      <c r="AQ173" s="198">
        <v>0</v>
      </c>
      <c r="AR173" s="198">
        <v>0</v>
      </c>
      <c r="AS173" s="200">
        <v>3275.0484000000001</v>
      </c>
      <c r="AT173" s="159">
        <v>4377.0550259030397</v>
      </c>
      <c r="AU173" s="160">
        <v>1.0740000000000001</v>
      </c>
      <c r="AV173" s="160">
        <v>1.0369999999999999</v>
      </c>
      <c r="AW173" s="151">
        <v>1.0389999999999999</v>
      </c>
      <c r="AX173" s="159">
        <v>0</v>
      </c>
      <c r="AY173" s="159">
        <v>4377.0550259030397</v>
      </c>
      <c r="AZ173" s="159">
        <v>0</v>
      </c>
      <c r="BA173" s="196" t="e">
        <f>#REF!-#REF!</f>
        <v>#REF!</v>
      </c>
    </row>
    <row r="174" spans="1:58" ht="104.25" customHeight="1" x14ac:dyDescent="0.25">
      <c r="A174" s="201"/>
      <c r="B174" s="191"/>
      <c r="C174" s="185"/>
      <c r="D174" s="41" t="s">
        <v>44</v>
      </c>
      <c r="E174" s="41" t="s">
        <v>45</v>
      </c>
      <c r="F174" s="41">
        <v>45</v>
      </c>
      <c r="G174" s="31" t="s">
        <v>46</v>
      </c>
      <c r="H174" s="32">
        <v>17</v>
      </c>
      <c r="I174" s="32">
        <f>F174*H174</f>
        <v>765</v>
      </c>
      <c r="J174" s="32" t="s">
        <v>55</v>
      </c>
      <c r="K174" s="33">
        <v>1.05</v>
      </c>
      <c r="L174" s="32">
        <f>I174*K174</f>
        <v>803.25</v>
      </c>
      <c r="M174" s="158"/>
      <c r="N174" s="158"/>
      <c r="O174" s="158"/>
      <c r="P174" s="158"/>
      <c r="Q174" s="158"/>
      <c r="R174" s="183"/>
      <c r="S174" s="183"/>
      <c r="T174" s="160"/>
      <c r="U174" s="160"/>
      <c r="V174" s="160"/>
      <c r="W174" s="160"/>
      <c r="X174" s="158"/>
      <c r="Y174" s="158"/>
      <c r="Z174" s="158"/>
      <c r="AA174" s="158"/>
      <c r="AB174" s="158"/>
      <c r="AC174" s="158"/>
      <c r="AD174" s="156"/>
      <c r="AE174" s="158"/>
      <c r="AF174" s="158"/>
      <c r="AG174" s="162"/>
      <c r="AH174" s="162"/>
      <c r="AI174" s="198"/>
      <c r="AJ174" s="198"/>
      <c r="AK174" s="198"/>
      <c r="AL174" s="198"/>
      <c r="AM174" s="198"/>
      <c r="AN174" s="199"/>
      <c r="AO174" s="198"/>
      <c r="AP174" s="156"/>
      <c r="AQ174" s="198"/>
      <c r="AR174" s="198"/>
      <c r="AS174" s="200"/>
      <c r="AT174" s="159"/>
      <c r="AU174" s="160"/>
      <c r="AV174" s="160"/>
      <c r="AW174" s="183"/>
      <c r="AX174" s="159"/>
      <c r="AY174" s="159"/>
      <c r="AZ174" s="159"/>
      <c r="BA174" s="196"/>
    </row>
    <row r="175" spans="1:58" ht="88.5" customHeight="1" x14ac:dyDescent="0.25">
      <c r="A175" s="201"/>
      <c r="B175" s="191"/>
      <c r="C175" s="185"/>
      <c r="D175" s="41" t="s">
        <v>269</v>
      </c>
      <c r="E175" s="41" t="s">
        <v>34</v>
      </c>
      <c r="F175" s="41">
        <v>4.3769999999999998</v>
      </c>
      <c r="G175" s="31" t="s">
        <v>268</v>
      </c>
      <c r="H175" s="32">
        <v>431</v>
      </c>
      <c r="I175" s="32">
        <f t="shared" ref="I175:I180" si="42">F175*H175</f>
        <v>1886.4869999999999</v>
      </c>
      <c r="J175" s="32" t="s">
        <v>55</v>
      </c>
      <c r="K175" s="33">
        <v>1.05</v>
      </c>
      <c r="L175" s="32">
        <f>I175*K175</f>
        <v>1980.8113499999999</v>
      </c>
      <c r="M175" s="158"/>
      <c r="N175" s="158"/>
      <c r="O175" s="158"/>
      <c r="P175" s="158"/>
      <c r="Q175" s="158"/>
      <c r="R175" s="183"/>
      <c r="S175" s="183"/>
      <c r="T175" s="160"/>
      <c r="U175" s="160"/>
      <c r="V175" s="160"/>
      <c r="W175" s="160"/>
      <c r="X175" s="158"/>
      <c r="Y175" s="158"/>
      <c r="Z175" s="158"/>
      <c r="AA175" s="158"/>
      <c r="AB175" s="158"/>
      <c r="AC175" s="158"/>
      <c r="AD175" s="156"/>
      <c r="AE175" s="158"/>
      <c r="AF175" s="158"/>
      <c r="AG175" s="162"/>
      <c r="AH175" s="162"/>
      <c r="AI175" s="198"/>
      <c r="AJ175" s="198"/>
      <c r="AK175" s="198"/>
      <c r="AL175" s="198"/>
      <c r="AM175" s="198"/>
      <c r="AN175" s="199"/>
      <c r="AO175" s="198"/>
      <c r="AP175" s="156"/>
      <c r="AQ175" s="198"/>
      <c r="AR175" s="198"/>
      <c r="AS175" s="200"/>
      <c r="AT175" s="159"/>
      <c r="AU175" s="160"/>
      <c r="AV175" s="160"/>
      <c r="AW175" s="183"/>
      <c r="AX175" s="159"/>
      <c r="AY175" s="159"/>
      <c r="AZ175" s="159"/>
      <c r="BA175" s="196"/>
    </row>
    <row r="176" spans="1:58" ht="85.5" customHeight="1" x14ac:dyDescent="0.25">
      <c r="A176" s="201"/>
      <c r="B176" s="191"/>
      <c r="C176" s="185"/>
      <c r="D176" s="41" t="s">
        <v>48</v>
      </c>
      <c r="E176" s="41" t="s">
        <v>49</v>
      </c>
      <c r="F176" s="41">
        <v>1.46</v>
      </c>
      <c r="G176" s="31" t="s">
        <v>51</v>
      </c>
      <c r="H176" s="32">
        <v>187</v>
      </c>
      <c r="I176" s="32">
        <f t="shared" si="42"/>
        <v>273.02</v>
      </c>
      <c r="J176" s="32" t="s">
        <v>36</v>
      </c>
      <c r="K176" s="33" t="s">
        <v>36</v>
      </c>
      <c r="L176" s="32">
        <f>I176</f>
        <v>273.02</v>
      </c>
      <c r="M176" s="158"/>
      <c r="N176" s="158"/>
      <c r="O176" s="158"/>
      <c r="P176" s="158"/>
      <c r="Q176" s="158"/>
      <c r="R176" s="183"/>
      <c r="S176" s="183"/>
      <c r="T176" s="160"/>
      <c r="U176" s="160"/>
      <c r="V176" s="160"/>
      <c r="W176" s="160"/>
      <c r="X176" s="158"/>
      <c r="Y176" s="158"/>
      <c r="Z176" s="158"/>
      <c r="AA176" s="158"/>
      <c r="AB176" s="158"/>
      <c r="AC176" s="158"/>
      <c r="AD176" s="156"/>
      <c r="AE176" s="158"/>
      <c r="AF176" s="158"/>
      <c r="AG176" s="162"/>
      <c r="AH176" s="162"/>
      <c r="AI176" s="198"/>
      <c r="AJ176" s="198"/>
      <c r="AK176" s="198"/>
      <c r="AL176" s="198"/>
      <c r="AM176" s="198"/>
      <c r="AN176" s="199"/>
      <c r="AO176" s="198"/>
      <c r="AP176" s="156"/>
      <c r="AQ176" s="198"/>
      <c r="AR176" s="198"/>
      <c r="AS176" s="200"/>
      <c r="AT176" s="159"/>
      <c r="AU176" s="160"/>
      <c r="AV176" s="160"/>
      <c r="AW176" s="183"/>
      <c r="AX176" s="159"/>
      <c r="AY176" s="159"/>
      <c r="AZ176" s="159"/>
      <c r="BA176" s="196"/>
    </row>
    <row r="177" spans="1:53" ht="88.5" customHeight="1" x14ac:dyDescent="0.25">
      <c r="A177" s="201"/>
      <c r="B177" s="191"/>
      <c r="C177" s="185"/>
      <c r="D177" s="41" t="s">
        <v>271</v>
      </c>
      <c r="E177" s="41" t="s">
        <v>34</v>
      </c>
      <c r="F177" s="41">
        <v>70</v>
      </c>
      <c r="G177" s="31" t="s">
        <v>270</v>
      </c>
      <c r="H177" s="32">
        <v>2058</v>
      </c>
      <c r="I177" s="32">
        <f t="shared" si="42"/>
        <v>144060</v>
      </c>
      <c r="J177" s="32" t="s">
        <v>272</v>
      </c>
      <c r="K177" s="33">
        <v>1.1200000000000001</v>
      </c>
      <c r="L177" s="32">
        <v>1953.6583500000004</v>
      </c>
      <c r="M177" s="158"/>
      <c r="N177" s="158"/>
      <c r="O177" s="158"/>
      <c r="P177" s="158"/>
      <c r="Q177" s="158"/>
      <c r="R177" s="183"/>
      <c r="S177" s="183"/>
      <c r="T177" s="160"/>
      <c r="U177" s="160"/>
      <c r="V177" s="160"/>
      <c r="W177" s="160"/>
      <c r="X177" s="158"/>
      <c r="Y177" s="158"/>
      <c r="Z177" s="158"/>
      <c r="AA177" s="158"/>
      <c r="AB177" s="158"/>
      <c r="AC177" s="158"/>
      <c r="AD177" s="156"/>
      <c r="AE177" s="158"/>
      <c r="AF177" s="158"/>
      <c r="AG177" s="162"/>
      <c r="AH177" s="162"/>
      <c r="AI177" s="198"/>
      <c r="AJ177" s="198"/>
      <c r="AK177" s="198"/>
      <c r="AL177" s="198"/>
      <c r="AM177" s="198"/>
      <c r="AN177" s="199"/>
      <c r="AO177" s="198"/>
      <c r="AP177" s="156"/>
      <c r="AQ177" s="198"/>
      <c r="AR177" s="198"/>
      <c r="AS177" s="200"/>
      <c r="AT177" s="159"/>
      <c r="AU177" s="160"/>
      <c r="AV177" s="160"/>
      <c r="AW177" s="183"/>
      <c r="AX177" s="159"/>
      <c r="AY177" s="159"/>
      <c r="AZ177" s="159"/>
      <c r="BA177" s="196"/>
    </row>
    <row r="178" spans="1:53" ht="37.5" customHeight="1" x14ac:dyDescent="0.25">
      <c r="A178" s="201"/>
      <c r="B178" s="167"/>
      <c r="C178" s="186"/>
      <c r="D178" s="41" t="s">
        <v>265</v>
      </c>
      <c r="E178" s="41" t="s">
        <v>207</v>
      </c>
      <c r="F178" s="41">
        <v>1</v>
      </c>
      <c r="G178" s="31" t="s">
        <v>266</v>
      </c>
      <c r="H178" s="32">
        <v>561</v>
      </c>
      <c r="I178" s="32">
        <f t="shared" si="42"/>
        <v>561</v>
      </c>
      <c r="J178" s="32" t="s">
        <v>36</v>
      </c>
      <c r="K178" s="32" t="s">
        <v>36</v>
      </c>
      <c r="L178" s="32">
        <f>I178</f>
        <v>561</v>
      </c>
      <c r="M178" s="154"/>
      <c r="N178" s="154"/>
      <c r="O178" s="154"/>
      <c r="P178" s="154"/>
      <c r="Q178" s="154"/>
      <c r="R178" s="152"/>
      <c r="S178" s="152"/>
      <c r="T178" s="160"/>
      <c r="U178" s="160"/>
      <c r="V178" s="160"/>
      <c r="W178" s="160"/>
      <c r="X178" s="154"/>
      <c r="Y178" s="154"/>
      <c r="Z178" s="154"/>
      <c r="AA178" s="154"/>
      <c r="AB178" s="154"/>
      <c r="AC178" s="154"/>
      <c r="AD178" s="157"/>
      <c r="AE178" s="154"/>
      <c r="AF178" s="154"/>
      <c r="AG178" s="163"/>
      <c r="AH178" s="163"/>
      <c r="AI178" s="198"/>
      <c r="AJ178" s="198"/>
      <c r="AK178" s="198"/>
      <c r="AL178" s="198"/>
      <c r="AM178" s="198"/>
      <c r="AN178" s="199"/>
      <c r="AO178" s="198"/>
      <c r="AP178" s="157"/>
      <c r="AQ178" s="198"/>
      <c r="AR178" s="198"/>
      <c r="AS178" s="200"/>
      <c r="AT178" s="159"/>
      <c r="AU178" s="160"/>
      <c r="AV178" s="160"/>
      <c r="AW178" s="152"/>
      <c r="AX178" s="159"/>
      <c r="AY178" s="159"/>
      <c r="AZ178" s="159"/>
      <c r="BA178" s="196"/>
    </row>
    <row r="179" spans="1:53" ht="31.5" customHeight="1" x14ac:dyDescent="0.25">
      <c r="A179" s="201">
        <v>41</v>
      </c>
      <c r="B179" s="166" t="s">
        <v>264</v>
      </c>
      <c r="C179" s="184">
        <v>10</v>
      </c>
      <c r="D179" s="41" t="s">
        <v>38</v>
      </c>
      <c r="E179" s="41" t="s">
        <v>37</v>
      </c>
      <c r="F179" s="41">
        <v>2</v>
      </c>
      <c r="G179" s="42" t="s">
        <v>273</v>
      </c>
      <c r="H179" s="32">
        <v>1663</v>
      </c>
      <c r="I179" s="32">
        <f t="shared" si="42"/>
        <v>3326</v>
      </c>
      <c r="J179" s="32" t="s">
        <v>54</v>
      </c>
      <c r="K179" s="33">
        <v>1.1000000000000001</v>
      </c>
      <c r="L179" s="32">
        <f>I179*K179</f>
        <v>3658.6000000000004</v>
      </c>
      <c r="M179" s="153">
        <f>SUM(L179:L184)</f>
        <v>13486.869450000002</v>
      </c>
      <c r="N179" s="153">
        <f>M179*0.2</f>
        <v>2697.3738900000008</v>
      </c>
      <c r="O179" s="153">
        <f>M179+N179</f>
        <v>16184.243340000003</v>
      </c>
      <c r="P179" s="153">
        <f>O179*R179*S179*T179</f>
        <v>18220.998254800215</v>
      </c>
      <c r="Q179" s="153">
        <f>SUM(X179:AC184)</f>
        <v>19004.501179756622</v>
      </c>
      <c r="R179" s="151">
        <v>1.032</v>
      </c>
      <c r="S179" s="151">
        <v>1.038</v>
      </c>
      <c r="T179" s="160">
        <v>1.0509999999999999</v>
      </c>
      <c r="U179" s="160">
        <v>1.0429999999999999</v>
      </c>
      <c r="V179" s="160">
        <v>1.042</v>
      </c>
      <c r="W179" s="160">
        <v>1.0409999999999999</v>
      </c>
      <c r="X179" s="153">
        <v>0</v>
      </c>
      <c r="Y179" s="153">
        <v>0</v>
      </c>
      <c r="Z179" s="153">
        <v>0</v>
      </c>
      <c r="AA179" s="153">
        <f>O179*R179*S179*T179*U179</f>
        <v>19004.501179756622</v>
      </c>
      <c r="AB179" s="153">
        <v>0</v>
      </c>
      <c r="AC179" s="153">
        <v>0</v>
      </c>
      <c r="AD179" s="155">
        <f>SUM(L179:L184)*1.2</f>
        <v>16184.243340000001</v>
      </c>
      <c r="AE179" s="153">
        <f>AD179*AG179*AH179*AI179*AJ179</f>
        <v>20824.309077577953</v>
      </c>
      <c r="AF179" s="153">
        <f>AM179+AN179+AO179+AP179+AQ179+AR179</f>
        <v>20824.309077577953</v>
      </c>
      <c r="AG179" s="161">
        <v>1.032</v>
      </c>
      <c r="AH179" s="161">
        <v>1.038</v>
      </c>
      <c r="AI179" s="161">
        <v>1.0696000000000001</v>
      </c>
      <c r="AJ179" s="161">
        <v>1.123</v>
      </c>
      <c r="AK179" s="161">
        <v>1.0589999999999999</v>
      </c>
      <c r="AL179" s="161">
        <v>1.0509999999999999</v>
      </c>
      <c r="AM179" s="198">
        <v>0</v>
      </c>
      <c r="AN179" s="199">
        <v>0</v>
      </c>
      <c r="AO179" s="198">
        <v>0</v>
      </c>
      <c r="AP179" s="155">
        <f>AD179*AG179*AI179*AJ179*AH179</f>
        <v>20824.309077577953</v>
      </c>
      <c r="AQ179" s="198">
        <v>0</v>
      </c>
      <c r="AR179" s="198">
        <v>0</v>
      </c>
      <c r="AS179" s="200">
        <v>3275.0484000000001</v>
      </c>
      <c r="AT179" s="159">
        <v>4377.0550259030397</v>
      </c>
      <c r="AU179" s="160">
        <v>1.0740000000000001</v>
      </c>
      <c r="AV179" s="160">
        <v>1.0369999999999999</v>
      </c>
      <c r="AW179" s="151">
        <v>1.0389999999999999</v>
      </c>
      <c r="AX179" s="159">
        <v>0</v>
      </c>
      <c r="AY179" s="159">
        <v>4377.0550259030397</v>
      </c>
      <c r="AZ179" s="159">
        <v>0</v>
      </c>
      <c r="BA179" s="196" t="e">
        <f>#REF!-#REF!</f>
        <v>#REF!</v>
      </c>
    </row>
    <row r="180" spans="1:53" ht="104.25" customHeight="1" x14ac:dyDescent="0.25">
      <c r="A180" s="201"/>
      <c r="B180" s="191"/>
      <c r="C180" s="185"/>
      <c r="D180" s="41" t="s">
        <v>42</v>
      </c>
      <c r="E180" s="41" t="s">
        <v>34</v>
      </c>
      <c r="F180" s="41">
        <v>3.492</v>
      </c>
      <c r="G180" s="31" t="s">
        <v>275</v>
      </c>
      <c r="H180" s="32">
        <v>699</v>
      </c>
      <c r="I180" s="32">
        <f t="shared" si="42"/>
        <v>2440.9079999999999</v>
      </c>
      <c r="J180" s="32" t="s">
        <v>55</v>
      </c>
      <c r="K180" s="33">
        <v>1.05</v>
      </c>
      <c r="L180" s="32">
        <f>I180*K180</f>
        <v>2562.9533999999999</v>
      </c>
      <c r="M180" s="158"/>
      <c r="N180" s="158"/>
      <c r="O180" s="158"/>
      <c r="P180" s="158"/>
      <c r="Q180" s="158"/>
      <c r="R180" s="183"/>
      <c r="S180" s="183"/>
      <c r="T180" s="160"/>
      <c r="U180" s="160"/>
      <c r="V180" s="160"/>
      <c r="W180" s="160"/>
      <c r="X180" s="158"/>
      <c r="Y180" s="158"/>
      <c r="Z180" s="158"/>
      <c r="AA180" s="158"/>
      <c r="AB180" s="158"/>
      <c r="AC180" s="158"/>
      <c r="AD180" s="156"/>
      <c r="AE180" s="158"/>
      <c r="AF180" s="158"/>
      <c r="AG180" s="162"/>
      <c r="AH180" s="162"/>
      <c r="AI180" s="162"/>
      <c r="AJ180" s="162"/>
      <c r="AK180" s="162"/>
      <c r="AL180" s="162"/>
      <c r="AM180" s="198"/>
      <c r="AN180" s="199"/>
      <c r="AO180" s="198"/>
      <c r="AP180" s="156"/>
      <c r="AQ180" s="198"/>
      <c r="AR180" s="198"/>
      <c r="AS180" s="200"/>
      <c r="AT180" s="159"/>
      <c r="AU180" s="160"/>
      <c r="AV180" s="160"/>
      <c r="AW180" s="183"/>
      <c r="AX180" s="159"/>
      <c r="AY180" s="159"/>
      <c r="AZ180" s="159"/>
      <c r="BA180" s="196"/>
    </row>
    <row r="181" spans="1:53" ht="104.25" customHeight="1" x14ac:dyDescent="0.25">
      <c r="A181" s="201"/>
      <c r="B181" s="191"/>
      <c r="C181" s="185"/>
      <c r="D181" s="41" t="s">
        <v>44</v>
      </c>
      <c r="E181" s="41" t="s">
        <v>45</v>
      </c>
      <c r="F181" s="41">
        <v>109.125</v>
      </c>
      <c r="G181" s="31" t="s">
        <v>274</v>
      </c>
      <c r="H181" s="32">
        <v>17</v>
      </c>
      <c r="I181" s="32">
        <f>F181*H181</f>
        <v>1855.125</v>
      </c>
      <c r="J181" s="32" t="s">
        <v>55</v>
      </c>
      <c r="K181" s="33">
        <v>1.05</v>
      </c>
      <c r="L181" s="32">
        <f>I181*K181</f>
        <v>1947.8812500000001</v>
      </c>
      <c r="M181" s="158"/>
      <c r="N181" s="158"/>
      <c r="O181" s="158"/>
      <c r="P181" s="158"/>
      <c r="Q181" s="158"/>
      <c r="R181" s="183"/>
      <c r="S181" s="183"/>
      <c r="T181" s="160"/>
      <c r="U181" s="160"/>
      <c r="V181" s="160"/>
      <c r="W181" s="160"/>
      <c r="X181" s="158"/>
      <c r="Y181" s="158"/>
      <c r="Z181" s="158"/>
      <c r="AA181" s="158"/>
      <c r="AB181" s="158"/>
      <c r="AC181" s="158"/>
      <c r="AD181" s="156"/>
      <c r="AE181" s="158"/>
      <c r="AF181" s="158"/>
      <c r="AG181" s="162"/>
      <c r="AH181" s="162"/>
      <c r="AI181" s="162"/>
      <c r="AJ181" s="162"/>
      <c r="AK181" s="162"/>
      <c r="AL181" s="162"/>
      <c r="AM181" s="198"/>
      <c r="AN181" s="199"/>
      <c r="AO181" s="198"/>
      <c r="AP181" s="156"/>
      <c r="AQ181" s="198"/>
      <c r="AR181" s="198"/>
      <c r="AS181" s="200"/>
      <c r="AT181" s="159"/>
      <c r="AU181" s="160"/>
      <c r="AV181" s="160"/>
      <c r="AW181" s="183"/>
      <c r="AX181" s="159"/>
      <c r="AY181" s="159"/>
      <c r="AZ181" s="159"/>
      <c r="BA181" s="196"/>
    </row>
    <row r="182" spans="1:53" ht="90.75" customHeight="1" x14ac:dyDescent="0.25">
      <c r="A182" s="201"/>
      <c r="B182" s="191"/>
      <c r="C182" s="185"/>
      <c r="D182" s="41" t="s">
        <v>269</v>
      </c>
      <c r="E182" s="41" t="s">
        <v>34</v>
      </c>
      <c r="F182" s="41">
        <v>10.476000000000001</v>
      </c>
      <c r="G182" s="31" t="s">
        <v>268</v>
      </c>
      <c r="H182" s="32">
        <v>431</v>
      </c>
      <c r="I182" s="32">
        <f t="shared" ref="I182:I186" si="43">F182*H182</f>
        <v>4515.1559999999999</v>
      </c>
      <c r="J182" s="32" t="s">
        <v>55</v>
      </c>
      <c r="K182" s="33">
        <v>1.05</v>
      </c>
      <c r="L182" s="32">
        <f>I182*K182</f>
        <v>4740.9138000000003</v>
      </c>
      <c r="M182" s="158"/>
      <c r="N182" s="158"/>
      <c r="O182" s="158"/>
      <c r="P182" s="158"/>
      <c r="Q182" s="158"/>
      <c r="R182" s="183"/>
      <c r="S182" s="183"/>
      <c r="T182" s="160"/>
      <c r="U182" s="160"/>
      <c r="V182" s="160"/>
      <c r="W182" s="160"/>
      <c r="X182" s="158"/>
      <c r="Y182" s="158"/>
      <c r="Z182" s="158"/>
      <c r="AA182" s="158"/>
      <c r="AB182" s="158"/>
      <c r="AC182" s="158"/>
      <c r="AD182" s="156"/>
      <c r="AE182" s="158"/>
      <c r="AF182" s="158"/>
      <c r="AG182" s="162"/>
      <c r="AH182" s="162"/>
      <c r="AI182" s="162"/>
      <c r="AJ182" s="162"/>
      <c r="AK182" s="162"/>
      <c r="AL182" s="162"/>
      <c r="AM182" s="198"/>
      <c r="AN182" s="199"/>
      <c r="AO182" s="198"/>
      <c r="AP182" s="156"/>
      <c r="AQ182" s="198"/>
      <c r="AR182" s="198"/>
      <c r="AS182" s="200"/>
      <c r="AT182" s="159"/>
      <c r="AU182" s="160"/>
      <c r="AV182" s="160"/>
      <c r="AW182" s="183"/>
      <c r="AX182" s="159"/>
      <c r="AY182" s="159"/>
      <c r="AZ182" s="159"/>
      <c r="BA182" s="196"/>
    </row>
    <row r="183" spans="1:53" ht="84.75" customHeight="1" x14ac:dyDescent="0.25">
      <c r="A183" s="201"/>
      <c r="B183" s="191"/>
      <c r="C183" s="185"/>
      <c r="D183" s="41" t="s">
        <v>48</v>
      </c>
      <c r="E183" s="41" t="s">
        <v>49</v>
      </c>
      <c r="F183" s="41">
        <v>8.3000000000000004E-2</v>
      </c>
      <c r="G183" s="31" t="s">
        <v>51</v>
      </c>
      <c r="H183" s="32">
        <v>187</v>
      </c>
      <c r="I183" s="32">
        <f t="shared" si="43"/>
        <v>15.521000000000001</v>
      </c>
      <c r="J183" s="32" t="s">
        <v>36</v>
      </c>
      <c r="K183" s="33" t="s">
        <v>36</v>
      </c>
      <c r="L183" s="32">
        <f>I183</f>
        <v>15.521000000000001</v>
      </c>
      <c r="M183" s="158"/>
      <c r="N183" s="158"/>
      <c r="O183" s="158"/>
      <c r="P183" s="158"/>
      <c r="Q183" s="158"/>
      <c r="R183" s="183"/>
      <c r="S183" s="183"/>
      <c r="T183" s="160"/>
      <c r="U183" s="160"/>
      <c r="V183" s="160"/>
      <c r="W183" s="160"/>
      <c r="X183" s="158"/>
      <c r="Y183" s="158"/>
      <c r="Z183" s="158"/>
      <c r="AA183" s="158"/>
      <c r="AB183" s="158"/>
      <c r="AC183" s="158"/>
      <c r="AD183" s="156"/>
      <c r="AE183" s="158"/>
      <c r="AF183" s="158"/>
      <c r="AG183" s="162"/>
      <c r="AH183" s="162"/>
      <c r="AI183" s="162"/>
      <c r="AJ183" s="162"/>
      <c r="AK183" s="162"/>
      <c r="AL183" s="162"/>
      <c r="AM183" s="198"/>
      <c r="AN183" s="199"/>
      <c r="AO183" s="198"/>
      <c r="AP183" s="156"/>
      <c r="AQ183" s="198"/>
      <c r="AR183" s="198"/>
      <c r="AS183" s="200"/>
      <c r="AT183" s="159"/>
      <c r="AU183" s="160"/>
      <c r="AV183" s="160"/>
      <c r="AW183" s="183"/>
      <c r="AX183" s="159"/>
      <c r="AY183" s="159"/>
      <c r="AZ183" s="159"/>
      <c r="BA183" s="196"/>
    </row>
    <row r="184" spans="1:53" ht="37.5" customHeight="1" x14ac:dyDescent="0.25">
      <c r="A184" s="201"/>
      <c r="B184" s="167"/>
      <c r="C184" s="186"/>
      <c r="D184" s="41" t="s">
        <v>20</v>
      </c>
      <c r="E184" s="41" t="s">
        <v>207</v>
      </c>
      <c r="F184" s="41">
        <v>1</v>
      </c>
      <c r="G184" s="31" t="s">
        <v>267</v>
      </c>
      <c r="H184" s="32">
        <v>561</v>
      </c>
      <c r="I184" s="32">
        <f t="shared" si="43"/>
        <v>561</v>
      </c>
      <c r="J184" s="32" t="s">
        <v>36</v>
      </c>
      <c r="K184" s="32" t="s">
        <v>36</v>
      </c>
      <c r="L184" s="32">
        <f>I184</f>
        <v>561</v>
      </c>
      <c r="M184" s="154"/>
      <c r="N184" s="154"/>
      <c r="O184" s="154"/>
      <c r="P184" s="154"/>
      <c r="Q184" s="154"/>
      <c r="R184" s="152"/>
      <c r="S184" s="152"/>
      <c r="T184" s="160"/>
      <c r="U184" s="160"/>
      <c r="V184" s="160"/>
      <c r="W184" s="160"/>
      <c r="X184" s="154"/>
      <c r="Y184" s="154"/>
      <c r="Z184" s="154"/>
      <c r="AA184" s="154"/>
      <c r="AB184" s="154"/>
      <c r="AC184" s="154"/>
      <c r="AD184" s="157"/>
      <c r="AE184" s="154"/>
      <c r="AF184" s="154"/>
      <c r="AG184" s="163"/>
      <c r="AH184" s="163"/>
      <c r="AI184" s="163"/>
      <c r="AJ184" s="163"/>
      <c r="AK184" s="163"/>
      <c r="AL184" s="163"/>
      <c r="AM184" s="198"/>
      <c r="AN184" s="199"/>
      <c r="AO184" s="198"/>
      <c r="AP184" s="157"/>
      <c r="AQ184" s="198"/>
      <c r="AR184" s="198"/>
      <c r="AS184" s="200"/>
      <c r="AT184" s="159"/>
      <c r="AU184" s="160"/>
      <c r="AV184" s="160"/>
      <c r="AW184" s="152"/>
      <c r="AX184" s="159"/>
      <c r="AY184" s="159"/>
      <c r="AZ184" s="159"/>
      <c r="BA184" s="196"/>
    </row>
    <row r="185" spans="1:53" ht="82.5" customHeight="1" x14ac:dyDescent="0.25">
      <c r="A185" s="168">
        <v>42</v>
      </c>
      <c r="B185" s="166" t="s">
        <v>348</v>
      </c>
      <c r="C185" s="164" t="s">
        <v>314</v>
      </c>
      <c r="D185" s="122" t="s">
        <v>186</v>
      </c>
      <c r="E185" s="122" t="s">
        <v>37</v>
      </c>
      <c r="F185" s="122">
        <v>1</v>
      </c>
      <c r="G185" s="123" t="s">
        <v>187</v>
      </c>
      <c r="H185" s="118">
        <v>20978</v>
      </c>
      <c r="I185" s="118">
        <f t="shared" si="43"/>
        <v>20978</v>
      </c>
      <c r="J185" s="118" t="s">
        <v>92</v>
      </c>
      <c r="K185" s="33">
        <v>1.05</v>
      </c>
      <c r="L185" s="118">
        <f>I185*K185</f>
        <v>22026.9</v>
      </c>
      <c r="M185" s="153" t="s">
        <v>175</v>
      </c>
      <c r="N185" s="153" t="s">
        <v>175</v>
      </c>
      <c r="O185" s="153" t="s">
        <v>175</v>
      </c>
      <c r="P185" s="153" t="s">
        <v>175</v>
      </c>
      <c r="Q185" s="153" t="s">
        <v>175</v>
      </c>
      <c r="R185" s="153" t="s">
        <v>175</v>
      </c>
      <c r="S185" s="153" t="s">
        <v>175</v>
      </c>
      <c r="T185" s="153" t="s">
        <v>175</v>
      </c>
      <c r="U185" s="153" t="s">
        <v>175</v>
      </c>
      <c r="V185" s="153" t="s">
        <v>175</v>
      </c>
      <c r="W185" s="153" t="s">
        <v>175</v>
      </c>
      <c r="X185" s="153" t="s">
        <v>175</v>
      </c>
      <c r="Y185" s="153" t="s">
        <v>175</v>
      </c>
      <c r="Z185" s="153" t="s">
        <v>175</v>
      </c>
      <c r="AA185" s="153" t="s">
        <v>175</v>
      </c>
      <c r="AB185" s="153" t="s">
        <v>175</v>
      </c>
      <c r="AC185" s="153" t="s">
        <v>175</v>
      </c>
      <c r="AD185" s="153">
        <f>(L185+L186)*1.2</f>
        <v>26792.280000000002</v>
      </c>
      <c r="AE185" s="153">
        <f>AD185*AG185*AH185*AI185*AJ185*AK185</f>
        <v>38233.144352990181</v>
      </c>
      <c r="AF185" s="153">
        <f>AM185+AN185+AO185+AP185+AQ185+AR185</f>
        <v>38233.144352990181</v>
      </c>
      <c r="AG185" s="151">
        <v>1.0680000000000001</v>
      </c>
      <c r="AH185" s="151">
        <v>1.056</v>
      </c>
      <c r="AI185" s="151">
        <v>1.0489999999999999</v>
      </c>
      <c r="AJ185" s="151">
        <v>1.139</v>
      </c>
      <c r="AK185" s="151">
        <v>1.0589999999999999</v>
      </c>
      <c r="AL185" s="151">
        <v>1.0529999999999999</v>
      </c>
      <c r="AM185" s="151">
        <v>0</v>
      </c>
      <c r="AN185" s="153">
        <v>0</v>
      </c>
      <c r="AO185" s="151">
        <v>0</v>
      </c>
      <c r="AP185" s="151">
        <v>0</v>
      </c>
      <c r="AQ185" s="153">
        <f>AD185*AG185*AH185*AI185*AJ185*AK185</f>
        <v>38233.144352990181</v>
      </c>
      <c r="AR185" s="151">
        <v>0</v>
      </c>
      <c r="AS185" s="117">
        <v>3275.0484000000001</v>
      </c>
      <c r="AT185" s="118">
        <v>4377.0550259030397</v>
      </c>
      <c r="AU185" s="119">
        <v>1.0740000000000001</v>
      </c>
      <c r="AV185" s="119">
        <v>1.0369999999999999</v>
      </c>
      <c r="AW185" s="120">
        <v>1.0389999999999999</v>
      </c>
      <c r="AX185" s="118">
        <v>0</v>
      </c>
      <c r="AY185" s="118">
        <v>4377.0550259030397</v>
      </c>
      <c r="AZ185" s="118">
        <v>0</v>
      </c>
      <c r="BA185" s="121" t="e">
        <f>#REF!-#REF!</f>
        <v>#REF!</v>
      </c>
    </row>
    <row r="186" spans="1:53" ht="82.5" customHeight="1" x14ac:dyDescent="0.25">
      <c r="A186" s="169"/>
      <c r="B186" s="167"/>
      <c r="C186" s="165"/>
      <c r="D186" s="122" t="s">
        <v>40</v>
      </c>
      <c r="E186" s="122" t="s">
        <v>41</v>
      </c>
      <c r="F186" s="122">
        <v>1</v>
      </c>
      <c r="G186" s="31" t="s">
        <v>232</v>
      </c>
      <c r="H186" s="118">
        <v>300</v>
      </c>
      <c r="I186" s="118">
        <f t="shared" si="43"/>
        <v>300</v>
      </c>
      <c r="J186" s="118" t="s">
        <v>36</v>
      </c>
      <c r="K186" s="118" t="s">
        <v>36</v>
      </c>
      <c r="L186" s="118">
        <f>I186</f>
        <v>300</v>
      </c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2"/>
      <c r="AH186" s="152"/>
      <c r="AI186" s="152"/>
      <c r="AJ186" s="152"/>
      <c r="AK186" s="152"/>
      <c r="AL186" s="152"/>
      <c r="AM186" s="152"/>
      <c r="AN186" s="154"/>
      <c r="AO186" s="152"/>
      <c r="AP186" s="152"/>
      <c r="AQ186" s="154"/>
      <c r="AR186" s="152"/>
      <c r="AS186" s="117">
        <v>3275.0484000000001</v>
      </c>
      <c r="AT186" s="118">
        <v>4377.0550259030397</v>
      </c>
      <c r="AU186" s="119">
        <v>1.0740000000000001</v>
      </c>
      <c r="AV186" s="119">
        <v>1.0369999999999999</v>
      </c>
      <c r="AW186" s="120">
        <v>1.0389999999999999</v>
      </c>
      <c r="AX186" s="118">
        <v>0</v>
      </c>
      <c r="AY186" s="118">
        <v>4377.0550259030397</v>
      </c>
      <c r="AZ186" s="118">
        <v>0</v>
      </c>
      <c r="BA186" s="121" t="e">
        <f>#REF!-#REF!</f>
        <v>#REF!</v>
      </c>
    </row>
    <row r="187" spans="1:53" s="39" customFormat="1" ht="60" x14ac:dyDescent="0.25">
      <c r="A187" s="35">
        <v>43</v>
      </c>
      <c r="B187" s="93" t="s">
        <v>309</v>
      </c>
      <c r="C187" s="98" t="s">
        <v>332</v>
      </c>
      <c r="D187" s="35" t="s">
        <v>292</v>
      </c>
      <c r="E187" s="35" t="s">
        <v>241</v>
      </c>
      <c r="F187" s="35">
        <v>1</v>
      </c>
      <c r="G187" s="57" t="s">
        <v>293</v>
      </c>
      <c r="H187" s="36">
        <v>2153</v>
      </c>
      <c r="I187" s="36">
        <f t="shared" ref="I187:I189" si="44">F187*H187</f>
        <v>2153</v>
      </c>
      <c r="J187" s="36" t="s">
        <v>92</v>
      </c>
      <c r="K187" s="37">
        <v>1.05</v>
      </c>
      <c r="L187" s="36">
        <f>I187*K187</f>
        <v>2260.65</v>
      </c>
      <c r="M187" s="87" t="s">
        <v>175</v>
      </c>
      <c r="N187" s="87" t="s">
        <v>175</v>
      </c>
      <c r="O187" s="87" t="s">
        <v>175</v>
      </c>
      <c r="P187" s="46" t="s">
        <v>175</v>
      </c>
      <c r="Q187" s="46" t="s">
        <v>175</v>
      </c>
      <c r="R187" s="87" t="s">
        <v>175</v>
      </c>
      <c r="S187" s="87" t="s">
        <v>175</v>
      </c>
      <c r="T187" s="87" t="s">
        <v>175</v>
      </c>
      <c r="U187" s="87" t="s">
        <v>175</v>
      </c>
      <c r="V187" s="87" t="s">
        <v>175</v>
      </c>
      <c r="W187" s="87" t="s">
        <v>175</v>
      </c>
      <c r="X187" s="87" t="s">
        <v>175</v>
      </c>
      <c r="Y187" s="87" t="s">
        <v>175</v>
      </c>
      <c r="Z187" s="87" t="s">
        <v>175</v>
      </c>
      <c r="AA187" s="87" t="s">
        <v>175</v>
      </c>
      <c r="AB187" s="87" t="s">
        <v>175</v>
      </c>
      <c r="AC187" s="87" t="s">
        <v>175</v>
      </c>
      <c r="AD187" s="87">
        <f>L187*1.2</f>
        <v>2712.78</v>
      </c>
      <c r="AE187" s="46">
        <f>AD187*AG187*AH187*AI187*AJ187</f>
        <v>3655.5182640044013</v>
      </c>
      <c r="AF187" s="46">
        <f>AM187+AN187+AO187+AP187+AQ187+AR187</f>
        <v>3871.1938415806608</v>
      </c>
      <c r="AG187" s="99">
        <v>1.0680000000000001</v>
      </c>
      <c r="AH187" s="99">
        <v>1.056</v>
      </c>
      <c r="AI187" s="99">
        <v>1.0489999999999999</v>
      </c>
      <c r="AJ187" s="99">
        <v>1.139</v>
      </c>
      <c r="AK187" s="99">
        <v>1.0589999999999999</v>
      </c>
      <c r="AL187" s="99">
        <v>1.0529999999999999</v>
      </c>
      <c r="AM187" s="97">
        <v>0</v>
      </c>
      <c r="AN187" s="36">
        <v>0</v>
      </c>
      <c r="AO187" s="97">
        <v>0</v>
      </c>
      <c r="AP187" s="99">
        <v>0</v>
      </c>
      <c r="AQ187" s="36">
        <f>AD187*AG187*AH187*AI187*AJ187*AK187</f>
        <v>3871.1938415806608</v>
      </c>
      <c r="AR187" s="97">
        <v>0</v>
      </c>
      <c r="AS187" s="56">
        <v>3275.0484000000001</v>
      </c>
      <c r="AT187" s="36">
        <v>4377.0550259030397</v>
      </c>
      <c r="AU187" s="97">
        <v>1.0740000000000001</v>
      </c>
      <c r="AV187" s="97">
        <v>1.0369999999999999</v>
      </c>
      <c r="AW187" s="99">
        <v>1.0389999999999999</v>
      </c>
      <c r="AX187" s="36">
        <v>0</v>
      </c>
      <c r="AY187" s="36">
        <v>4377.0550259030397</v>
      </c>
      <c r="AZ187" s="36">
        <v>0</v>
      </c>
      <c r="BA187" s="95" t="e">
        <f>#REF!-#REF!</f>
        <v>#REF!</v>
      </c>
    </row>
    <row r="188" spans="1:53" s="39" customFormat="1" ht="45" x14ac:dyDescent="0.25">
      <c r="A188" s="170">
        <v>44</v>
      </c>
      <c r="B188" s="171" t="s">
        <v>310</v>
      </c>
      <c r="C188" s="248" t="s">
        <v>332</v>
      </c>
      <c r="D188" s="35" t="s">
        <v>290</v>
      </c>
      <c r="E188" s="35" t="s">
        <v>241</v>
      </c>
      <c r="F188" s="35">
        <v>1</v>
      </c>
      <c r="G188" s="57" t="s">
        <v>291</v>
      </c>
      <c r="H188" s="36">
        <v>1025</v>
      </c>
      <c r="I188" s="36">
        <f t="shared" si="44"/>
        <v>1025</v>
      </c>
      <c r="J188" s="36" t="s">
        <v>92</v>
      </c>
      <c r="K188" s="37">
        <v>1.05</v>
      </c>
      <c r="L188" s="36">
        <f>I188*K188</f>
        <v>1076.25</v>
      </c>
      <c r="M188" s="155" t="s">
        <v>175</v>
      </c>
      <c r="N188" s="155" t="s">
        <v>175</v>
      </c>
      <c r="O188" s="155" t="s">
        <v>175</v>
      </c>
      <c r="P188" s="153" t="s">
        <v>175</v>
      </c>
      <c r="Q188" s="153" t="s">
        <v>175</v>
      </c>
      <c r="R188" s="155" t="s">
        <v>175</v>
      </c>
      <c r="S188" s="155" t="s">
        <v>175</v>
      </c>
      <c r="T188" s="155" t="s">
        <v>175</v>
      </c>
      <c r="U188" s="155" t="s">
        <v>175</v>
      </c>
      <c r="V188" s="155" t="s">
        <v>175</v>
      </c>
      <c r="W188" s="155" t="s">
        <v>175</v>
      </c>
      <c r="X188" s="155" t="s">
        <v>175</v>
      </c>
      <c r="Y188" s="155" t="s">
        <v>175</v>
      </c>
      <c r="Z188" s="155" t="s">
        <v>175</v>
      </c>
      <c r="AA188" s="155" t="s">
        <v>175</v>
      </c>
      <c r="AB188" s="155" t="s">
        <v>175</v>
      </c>
      <c r="AC188" s="155" t="s">
        <v>175</v>
      </c>
      <c r="AD188" s="155">
        <f>SUM(L188:L190)*1.2</f>
        <v>2231.8391999999999</v>
      </c>
      <c r="AE188" s="153">
        <f>AD188*AG188*AH188*AI188*AJ188</f>
        <v>3007.4421655722062</v>
      </c>
      <c r="AF188" s="153">
        <f>AM188+AN188+AO188+AP188+AQ188+AR188</f>
        <v>3184.8812533409664</v>
      </c>
      <c r="AG188" s="161">
        <v>1.0680000000000001</v>
      </c>
      <c r="AH188" s="161">
        <v>1.056</v>
      </c>
      <c r="AI188" s="161">
        <v>1.0489999999999999</v>
      </c>
      <c r="AJ188" s="161">
        <v>1.139</v>
      </c>
      <c r="AK188" s="161">
        <v>1.0589999999999999</v>
      </c>
      <c r="AL188" s="161">
        <v>1.0529999999999999</v>
      </c>
      <c r="AM188" s="198">
        <v>0</v>
      </c>
      <c r="AN188" s="198">
        <v>0</v>
      </c>
      <c r="AO188" s="198">
        <v>0</v>
      </c>
      <c r="AP188" s="198">
        <v>0</v>
      </c>
      <c r="AQ188" s="199">
        <f>AD188*AG188*AH188*AI188*AJ188*AK188</f>
        <v>3184.8812533409664</v>
      </c>
      <c r="AR188" s="198">
        <v>0</v>
      </c>
      <c r="AS188" s="206">
        <v>3275.0484000000001</v>
      </c>
      <c r="AT188" s="199">
        <v>4377.0550259030397</v>
      </c>
      <c r="AU188" s="198">
        <v>1.0740000000000001</v>
      </c>
      <c r="AV188" s="198">
        <v>1.0369999999999999</v>
      </c>
      <c r="AW188" s="161">
        <v>1.0389999999999999</v>
      </c>
      <c r="AX188" s="199">
        <v>0</v>
      </c>
      <c r="AY188" s="199">
        <v>4377.0550259030397</v>
      </c>
      <c r="AZ188" s="199">
        <v>0</v>
      </c>
      <c r="BA188" s="195" t="e">
        <f>#REF!-#REF!</f>
        <v>#REF!</v>
      </c>
    </row>
    <row r="189" spans="1:53" s="39" customFormat="1" ht="104.25" customHeight="1" x14ac:dyDescent="0.25">
      <c r="A189" s="170"/>
      <c r="B189" s="172"/>
      <c r="C189" s="249"/>
      <c r="D189" s="35" t="s">
        <v>40</v>
      </c>
      <c r="E189" s="35" t="s">
        <v>207</v>
      </c>
      <c r="F189" s="35">
        <v>1</v>
      </c>
      <c r="G189" s="40" t="s">
        <v>297</v>
      </c>
      <c r="H189" s="36">
        <v>300</v>
      </c>
      <c r="I189" s="36">
        <f t="shared" si="44"/>
        <v>300</v>
      </c>
      <c r="J189" s="36" t="s">
        <v>36</v>
      </c>
      <c r="K189" s="36" t="s">
        <v>36</v>
      </c>
      <c r="L189" s="36">
        <f>I189</f>
        <v>300</v>
      </c>
      <c r="M189" s="156"/>
      <c r="N189" s="156"/>
      <c r="O189" s="156"/>
      <c r="P189" s="158"/>
      <c r="Q189" s="158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8"/>
      <c r="AF189" s="158"/>
      <c r="AG189" s="162"/>
      <c r="AH189" s="162"/>
      <c r="AI189" s="162"/>
      <c r="AJ189" s="162"/>
      <c r="AK189" s="162"/>
      <c r="AL189" s="162"/>
      <c r="AM189" s="198"/>
      <c r="AN189" s="198"/>
      <c r="AO189" s="198"/>
      <c r="AP189" s="198"/>
      <c r="AQ189" s="199"/>
      <c r="AR189" s="198"/>
      <c r="AS189" s="206"/>
      <c r="AT189" s="199"/>
      <c r="AU189" s="198"/>
      <c r="AV189" s="198"/>
      <c r="AW189" s="162"/>
      <c r="AX189" s="199"/>
      <c r="AY189" s="199"/>
      <c r="AZ189" s="199"/>
      <c r="BA189" s="195"/>
    </row>
    <row r="190" spans="1:53" s="39" customFormat="1" ht="104.25" customHeight="1" x14ac:dyDescent="0.25">
      <c r="A190" s="170"/>
      <c r="B190" s="172"/>
      <c r="C190" s="249"/>
      <c r="D190" s="35" t="s">
        <v>295</v>
      </c>
      <c r="E190" s="35" t="s">
        <v>294</v>
      </c>
      <c r="F190" s="35">
        <v>160</v>
      </c>
      <c r="G190" s="40" t="s">
        <v>296</v>
      </c>
      <c r="H190" s="36">
        <v>2.38</v>
      </c>
      <c r="I190" s="36">
        <f>F190*H190</f>
        <v>380.79999999999995</v>
      </c>
      <c r="J190" s="36" t="s">
        <v>55</v>
      </c>
      <c r="K190" s="37">
        <v>1.27</v>
      </c>
      <c r="L190" s="36">
        <f>I190*K190</f>
        <v>483.61599999999993</v>
      </c>
      <c r="M190" s="156"/>
      <c r="N190" s="156"/>
      <c r="O190" s="156"/>
      <c r="P190" s="158"/>
      <c r="Q190" s="158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4"/>
      <c r="AF190" s="154"/>
      <c r="AG190" s="162"/>
      <c r="AH190" s="162"/>
      <c r="AI190" s="162"/>
      <c r="AJ190" s="162"/>
      <c r="AK190" s="162"/>
      <c r="AL190" s="162"/>
      <c r="AM190" s="198"/>
      <c r="AN190" s="198"/>
      <c r="AO190" s="198"/>
      <c r="AP190" s="198"/>
      <c r="AQ190" s="199"/>
      <c r="AR190" s="198"/>
      <c r="AS190" s="206"/>
      <c r="AT190" s="199"/>
      <c r="AU190" s="198"/>
      <c r="AV190" s="198"/>
      <c r="AW190" s="162"/>
      <c r="AX190" s="199"/>
      <c r="AY190" s="199"/>
      <c r="AZ190" s="199"/>
      <c r="BA190" s="195"/>
    </row>
    <row r="191" spans="1:53" s="39" customFormat="1" ht="60" x14ac:dyDescent="0.25">
      <c r="A191" s="35">
        <v>45</v>
      </c>
      <c r="B191" s="93" t="s">
        <v>311</v>
      </c>
      <c r="C191" s="94">
        <v>10</v>
      </c>
      <c r="D191" s="35" t="s">
        <v>298</v>
      </c>
      <c r="E191" s="35" t="s">
        <v>241</v>
      </c>
      <c r="F191" s="35">
        <v>1</v>
      </c>
      <c r="G191" s="57" t="s">
        <v>299</v>
      </c>
      <c r="H191" s="36">
        <v>6811</v>
      </c>
      <c r="I191" s="36">
        <f t="shared" ref="I191" si="45">F191*H191</f>
        <v>6811</v>
      </c>
      <c r="J191" s="36" t="s">
        <v>92</v>
      </c>
      <c r="K191" s="37">
        <v>1.05</v>
      </c>
      <c r="L191" s="36">
        <f>I191*K191</f>
        <v>7151.55</v>
      </c>
      <c r="M191" s="87" t="s">
        <v>175</v>
      </c>
      <c r="N191" s="87" t="s">
        <v>175</v>
      </c>
      <c r="O191" s="87" t="s">
        <v>175</v>
      </c>
      <c r="P191" s="46" t="s">
        <v>175</v>
      </c>
      <c r="Q191" s="46" t="s">
        <v>175</v>
      </c>
      <c r="R191" s="87" t="s">
        <v>175</v>
      </c>
      <c r="S191" s="87" t="s">
        <v>175</v>
      </c>
      <c r="T191" s="87" t="s">
        <v>175</v>
      </c>
      <c r="U191" s="87" t="s">
        <v>175</v>
      </c>
      <c r="V191" s="87" t="s">
        <v>175</v>
      </c>
      <c r="W191" s="87" t="s">
        <v>175</v>
      </c>
      <c r="X191" s="87" t="s">
        <v>175</v>
      </c>
      <c r="Y191" s="87" t="s">
        <v>175</v>
      </c>
      <c r="Z191" s="87" t="s">
        <v>175</v>
      </c>
      <c r="AA191" s="87" t="s">
        <v>175</v>
      </c>
      <c r="AB191" s="87" t="s">
        <v>175</v>
      </c>
      <c r="AC191" s="87" t="s">
        <v>175</v>
      </c>
      <c r="AD191" s="87">
        <f>L191*1.2</f>
        <v>8581.86</v>
      </c>
      <c r="AE191" s="46">
        <f>AD191*AG191*AH191*AI191*AJ191</f>
        <v>11564.20571116302</v>
      </c>
      <c r="AF191" s="46">
        <f>AM191+AN191+AO191+AP191+AQ191+AR191</f>
        <v>12246.493848121638</v>
      </c>
      <c r="AG191" s="99">
        <v>1.0680000000000001</v>
      </c>
      <c r="AH191" s="99">
        <v>1.056</v>
      </c>
      <c r="AI191" s="99">
        <v>1.0489999999999999</v>
      </c>
      <c r="AJ191" s="99">
        <v>1.139</v>
      </c>
      <c r="AK191" s="99">
        <v>1.0589999999999999</v>
      </c>
      <c r="AL191" s="99">
        <v>1.0529999999999999</v>
      </c>
      <c r="AM191" s="97">
        <v>0</v>
      </c>
      <c r="AN191" s="97">
        <v>0</v>
      </c>
      <c r="AO191" s="97">
        <v>0</v>
      </c>
      <c r="AP191" s="97">
        <v>0</v>
      </c>
      <c r="AQ191" s="36">
        <f>AD191*AG191*AH191*AI191*AJ191*AK191</f>
        <v>12246.493848121638</v>
      </c>
      <c r="AR191" s="97">
        <v>0</v>
      </c>
      <c r="AS191" s="56">
        <v>3275.0484000000001</v>
      </c>
      <c r="AT191" s="36">
        <v>4377.0550259030397</v>
      </c>
      <c r="AU191" s="97">
        <v>1.0740000000000001</v>
      </c>
      <c r="AV191" s="97">
        <v>1.0369999999999999</v>
      </c>
      <c r="AW191" s="99">
        <v>1.0389999999999999</v>
      </c>
      <c r="AX191" s="36">
        <v>0</v>
      </c>
      <c r="AY191" s="36">
        <v>4377.0550259030397</v>
      </c>
      <c r="AZ191" s="36">
        <v>0</v>
      </c>
      <c r="BA191" s="95" t="e">
        <f>#REF!-#REF!</f>
        <v>#REF!</v>
      </c>
    </row>
    <row r="192" spans="1:53" s="39" customFormat="1" ht="24" customHeight="1" x14ac:dyDescent="0.25">
      <c r="A192" s="170">
        <v>46</v>
      </c>
      <c r="B192" s="171" t="s">
        <v>312</v>
      </c>
      <c r="C192" s="248" t="s">
        <v>314</v>
      </c>
      <c r="D192" s="35" t="s">
        <v>224</v>
      </c>
      <c r="E192" s="35" t="s">
        <v>241</v>
      </c>
      <c r="F192" s="35">
        <v>4</v>
      </c>
      <c r="G192" s="57" t="s">
        <v>301</v>
      </c>
      <c r="H192" s="36">
        <v>1223</v>
      </c>
      <c r="I192" s="36">
        <f t="shared" ref="I192:I195" si="46">F192*H192</f>
        <v>4892</v>
      </c>
      <c r="J192" s="36" t="s">
        <v>54</v>
      </c>
      <c r="K192" s="37">
        <v>1.04</v>
      </c>
      <c r="L192" s="36">
        <f>I192*K192</f>
        <v>5087.68</v>
      </c>
      <c r="M192" s="155" t="s">
        <v>175</v>
      </c>
      <c r="N192" s="155" t="s">
        <v>175</v>
      </c>
      <c r="O192" s="155" t="s">
        <v>175</v>
      </c>
      <c r="P192" s="153" t="s">
        <v>175</v>
      </c>
      <c r="Q192" s="153" t="s">
        <v>175</v>
      </c>
      <c r="R192" s="155" t="s">
        <v>175</v>
      </c>
      <c r="S192" s="155" t="s">
        <v>175</v>
      </c>
      <c r="T192" s="155" t="s">
        <v>175</v>
      </c>
      <c r="U192" s="155" t="s">
        <v>175</v>
      </c>
      <c r="V192" s="155" t="s">
        <v>175</v>
      </c>
      <c r="W192" s="155" t="s">
        <v>175</v>
      </c>
      <c r="X192" s="155" t="s">
        <v>175</v>
      </c>
      <c r="Y192" s="155" t="s">
        <v>175</v>
      </c>
      <c r="Z192" s="155" t="s">
        <v>175</v>
      </c>
      <c r="AA192" s="155" t="s">
        <v>175</v>
      </c>
      <c r="AB192" s="155" t="s">
        <v>175</v>
      </c>
      <c r="AC192" s="155" t="s">
        <v>175</v>
      </c>
      <c r="AD192" s="155">
        <f>SUM(L192:L194)*1.2</f>
        <v>20852.496000000003</v>
      </c>
      <c r="AE192" s="153">
        <f>AD192*AG192*AH192*AI192*AJ192</f>
        <v>28099.101282845906</v>
      </c>
      <c r="AF192" s="153">
        <f>AM192+AN192+AO192+AP192+AQ192+AR192</f>
        <v>29756.948258533812</v>
      </c>
      <c r="AG192" s="161">
        <v>1.0680000000000001</v>
      </c>
      <c r="AH192" s="161">
        <v>1.056</v>
      </c>
      <c r="AI192" s="161">
        <v>1.0489999999999999</v>
      </c>
      <c r="AJ192" s="161">
        <v>1.139</v>
      </c>
      <c r="AK192" s="161">
        <v>1.0589999999999999</v>
      </c>
      <c r="AL192" s="161">
        <v>1.0529999999999999</v>
      </c>
      <c r="AM192" s="198">
        <v>0</v>
      </c>
      <c r="AN192" s="198">
        <v>0</v>
      </c>
      <c r="AO192" s="198">
        <v>0</v>
      </c>
      <c r="AP192" s="198">
        <v>0</v>
      </c>
      <c r="AQ192" s="199">
        <f>AD192*AG192*AH192*AI192*AJ192*AK192</f>
        <v>29756.948258533812</v>
      </c>
      <c r="AR192" s="198">
        <v>0</v>
      </c>
      <c r="AS192" s="206">
        <v>3275.0484000000001</v>
      </c>
      <c r="AT192" s="199">
        <v>4377.0550259030397</v>
      </c>
      <c r="AU192" s="198">
        <v>1.0740000000000001</v>
      </c>
      <c r="AV192" s="198">
        <v>1.0369999999999999</v>
      </c>
      <c r="AW192" s="161">
        <v>1.0389999999999999</v>
      </c>
      <c r="AX192" s="199">
        <v>0</v>
      </c>
      <c r="AY192" s="199">
        <v>4377.0550259030397</v>
      </c>
      <c r="AZ192" s="199">
        <v>0</v>
      </c>
      <c r="BA192" s="195" t="e">
        <f>#REF!-#REF!</f>
        <v>#REF!</v>
      </c>
    </row>
    <row r="193" spans="1:53" s="39" customFormat="1" ht="104.25" customHeight="1" x14ac:dyDescent="0.25">
      <c r="A193" s="170"/>
      <c r="B193" s="172"/>
      <c r="C193" s="249"/>
      <c r="D193" s="35" t="s">
        <v>300</v>
      </c>
      <c r="E193" s="35" t="s">
        <v>241</v>
      </c>
      <c r="F193" s="35">
        <v>30</v>
      </c>
      <c r="G193" s="57" t="s">
        <v>302</v>
      </c>
      <c r="H193" s="36">
        <v>162</v>
      </c>
      <c r="I193" s="36">
        <f t="shared" si="46"/>
        <v>4860</v>
      </c>
      <c r="J193" s="36" t="s">
        <v>92</v>
      </c>
      <c r="K193" s="37">
        <v>1.04</v>
      </c>
      <c r="L193" s="36">
        <f>I193*K193</f>
        <v>5054.4000000000005</v>
      </c>
      <c r="M193" s="156"/>
      <c r="N193" s="156"/>
      <c r="O193" s="156"/>
      <c r="P193" s="158"/>
      <c r="Q193" s="158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8"/>
      <c r="AF193" s="158"/>
      <c r="AG193" s="162"/>
      <c r="AH193" s="162"/>
      <c r="AI193" s="162"/>
      <c r="AJ193" s="162"/>
      <c r="AK193" s="162"/>
      <c r="AL193" s="162"/>
      <c r="AM193" s="198"/>
      <c r="AN193" s="198"/>
      <c r="AO193" s="198"/>
      <c r="AP193" s="198"/>
      <c r="AQ193" s="199"/>
      <c r="AR193" s="198"/>
      <c r="AS193" s="206"/>
      <c r="AT193" s="199"/>
      <c r="AU193" s="198"/>
      <c r="AV193" s="198"/>
      <c r="AW193" s="162"/>
      <c r="AX193" s="199"/>
      <c r="AY193" s="199"/>
      <c r="AZ193" s="199"/>
      <c r="BA193" s="195"/>
    </row>
    <row r="194" spans="1:53" s="39" customFormat="1" ht="104.25" customHeight="1" x14ac:dyDescent="0.25">
      <c r="A194" s="170"/>
      <c r="B194" s="172"/>
      <c r="C194" s="249"/>
      <c r="D194" s="35" t="s">
        <v>303</v>
      </c>
      <c r="E194" s="35" t="s">
        <v>207</v>
      </c>
      <c r="F194" s="35">
        <v>1</v>
      </c>
      <c r="G194" s="40" t="s">
        <v>304</v>
      </c>
      <c r="H194" s="36">
        <v>7235</v>
      </c>
      <c r="I194" s="36">
        <f t="shared" si="46"/>
        <v>7235</v>
      </c>
      <c r="J194" s="36" t="s">
        <v>36</v>
      </c>
      <c r="K194" s="36" t="s">
        <v>36</v>
      </c>
      <c r="L194" s="36">
        <f>I194</f>
        <v>7235</v>
      </c>
      <c r="M194" s="156"/>
      <c r="N194" s="156"/>
      <c r="O194" s="156"/>
      <c r="P194" s="158"/>
      <c r="Q194" s="158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4"/>
      <c r="AF194" s="154"/>
      <c r="AG194" s="162"/>
      <c r="AH194" s="162"/>
      <c r="AI194" s="162"/>
      <c r="AJ194" s="162"/>
      <c r="AK194" s="162"/>
      <c r="AL194" s="162"/>
      <c r="AM194" s="198"/>
      <c r="AN194" s="198"/>
      <c r="AO194" s="198"/>
      <c r="AP194" s="198"/>
      <c r="AQ194" s="199"/>
      <c r="AR194" s="198"/>
      <c r="AS194" s="206"/>
      <c r="AT194" s="199"/>
      <c r="AU194" s="198"/>
      <c r="AV194" s="198"/>
      <c r="AW194" s="162"/>
      <c r="AX194" s="199"/>
      <c r="AY194" s="199"/>
      <c r="AZ194" s="199"/>
      <c r="BA194" s="195"/>
    </row>
    <row r="195" spans="1:53" s="39" customFormat="1" ht="75" x14ac:dyDescent="0.25">
      <c r="A195" s="52">
        <v>47</v>
      </c>
      <c r="B195" s="93" t="s">
        <v>313</v>
      </c>
      <c r="C195" s="98" t="s">
        <v>314</v>
      </c>
      <c r="D195" s="35" t="s">
        <v>303</v>
      </c>
      <c r="E195" s="35" t="s">
        <v>207</v>
      </c>
      <c r="F195" s="35">
        <v>1</v>
      </c>
      <c r="G195" s="40" t="s">
        <v>304</v>
      </c>
      <c r="H195" s="36">
        <v>7235</v>
      </c>
      <c r="I195" s="36">
        <f t="shared" si="46"/>
        <v>7235</v>
      </c>
      <c r="J195" s="36" t="s">
        <v>36</v>
      </c>
      <c r="K195" s="36" t="s">
        <v>36</v>
      </c>
      <c r="L195" s="36">
        <v>7235</v>
      </c>
      <c r="M195" s="87" t="s">
        <v>175</v>
      </c>
      <c r="N195" s="87" t="s">
        <v>175</v>
      </c>
      <c r="O195" s="87" t="s">
        <v>175</v>
      </c>
      <c r="P195" s="46" t="s">
        <v>175</v>
      </c>
      <c r="Q195" s="46" t="s">
        <v>175</v>
      </c>
      <c r="R195" s="99" t="s">
        <v>175</v>
      </c>
      <c r="S195" s="99" t="s">
        <v>175</v>
      </c>
      <c r="T195" s="99" t="s">
        <v>175</v>
      </c>
      <c r="U195" s="99" t="s">
        <v>175</v>
      </c>
      <c r="V195" s="99" t="s">
        <v>175</v>
      </c>
      <c r="W195" s="99" t="s">
        <v>175</v>
      </c>
      <c r="X195" s="87" t="s">
        <v>175</v>
      </c>
      <c r="Y195" s="87" t="s">
        <v>175</v>
      </c>
      <c r="Z195" s="87" t="s">
        <v>175</v>
      </c>
      <c r="AA195" s="87" t="s">
        <v>175</v>
      </c>
      <c r="AB195" s="87" t="s">
        <v>175</v>
      </c>
      <c r="AC195" s="87" t="s">
        <v>175</v>
      </c>
      <c r="AD195" s="87">
        <f>L195*1.2</f>
        <v>8682</v>
      </c>
      <c r="AE195" s="46">
        <f>AD195*AG195*AH195*AI195*AJ195</f>
        <v>11699.146104028416</v>
      </c>
      <c r="AF195" s="46">
        <f>AM195+AN195+AO195+AP195+AQ195+AR195</f>
        <v>12389.395724166092</v>
      </c>
      <c r="AG195" s="99">
        <v>1.0680000000000001</v>
      </c>
      <c r="AH195" s="99">
        <v>1.056</v>
      </c>
      <c r="AI195" s="99">
        <v>1.0489999999999999</v>
      </c>
      <c r="AJ195" s="99">
        <v>1.139</v>
      </c>
      <c r="AK195" s="99">
        <v>1.0589999999999999</v>
      </c>
      <c r="AL195" s="99">
        <v>1.0529999999999999</v>
      </c>
      <c r="AM195" s="99">
        <v>0</v>
      </c>
      <c r="AN195" s="99">
        <v>0</v>
      </c>
      <c r="AO195" s="99">
        <v>0</v>
      </c>
      <c r="AP195" s="99">
        <v>0</v>
      </c>
      <c r="AQ195" s="87">
        <f>AD195*AG195*AH195*AI195*AJ195*AK195</f>
        <v>12389.395724166092</v>
      </c>
      <c r="AR195" s="99">
        <v>0</v>
      </c>
      <c r="AS195" s="94">
        <v>3275.0484000000001</v>
      </c>
      <c r="AT195" s="87">
        <v>4377.0550259030397</v>
      </c>
      <c r="AU195" s="99">
        <v>1.0740000000000001</v>
      </c>
      <c r="AV195" s="99">
        <v>1.0369999999999999</v>
      </c>
      <c r="AW195" s="99">
        <v>1.0389999999999999</v>
      </c>
      <c r="AX195" s="87">
        <v>0</v>
      </c>
      <c r="AY195" s="87">
        <v>4377.0550259030397</v>
      </c>
      <c r="AZ195" s="87">
        <v>0</v>
      </c>
      <c r="BA195" s="100" t="e">
        <f>#REF!-#REF!</f>
        <v>#REF!</v>
      </c>
    </row>
    <row r="196" spans="1:53" s="39" customFormat="1" ht="45" x14ac:dyDescent="0.25">
      <c r="A196" s="180">
        <v>48</v>
      </c>
      <c r="B196" s="171" t="s">
        <v>315</v>
      </c>
      <c r="C196" s="174">
        <v>10</v>
      </c>
      <c r="D196" s="35" t="s">
        <v>155</v>
      </c>
      <c r="E196" s="35" t="s">
        <v>207</v>
      </c>
      <c r="F196" s="35">
        <v>1</v>
      </c>
      <c r="G196" s="40" t="s">
        <v>305</v>
      </c>
      <c r="H196" s="36">
        <v>1270</v>
      </c>
      <c r="I196" s="36">
        <f t="shared" ref="I196" si="47">F196*H196</f>
        <v>1270</v>
      </c>
      <c r="J196" s="36" t="s">
        <v>92</v>
      </c>
      <c r="K196" s="37">
        <v>1.03</v>
      </c>
      <c r="L196" s="36">
        <f>K196*I196</f>
        <v>1308.1000000000001</v>
      </c>
      <c r="M196" s="155" t="s">
        <v>175</v>
      </c>
      <c r="N196" s="155" t="s">
        <v>175</v>
      </c>
      <c r="O196" s="155" t="s">
        <v>175</v>
      </c>
      <c r="P196" s="153" t="s">
        <v>175</v>
      </c>
      <c r="Q196" s="153" t="s">
        <v>175</v>
      </c>
      <c r="R196" s="155" t="s">
        <v>175</v>
      </c>
      <c r="S196" s="155" t="s">
        <v>175</v>
      </c>
      <c r="T196" s="155" t="s">
        <v>175</v>
      </c>
      <c r="U196" s="155" t="s">
        <v>175</v>
      </c>
      <c r="V196" s="155" t="s">
        <v>175</v>
      </c>
      <c r="W196" s="155" t="s">
        <v>175</v>
      </c>
      <c r="X196" s="155" t="s">
        <v>175</v>
      </c>
      <c r="Y196" s="155" t="s">
        <v>175</v>
      </c>
      <c r="Z196" s="155" t="s">
        <v>175</v>
      </c>
      <c r="AA196" s="155" t="s">
        <v>175</v>
      </c>
      <c r="AB196" s="155" t="s">
        <v>175</v>
      </c>
      <c r="AC196" s="155" t="s">
        <v>175</v>
      </c>
      <c r="AD196" s="155">
        <f>SUM(L196:L197)*1.2</f>
        <v>1663.3296000000003</v>
      </c>
      <c r="AE196" s="153">
        <f>AD196*AG196*AH196*AI196*AJ196</f>
        <v>2241.3655850673977</v>
      </c>
      <c r="AF196" s="153">
        <f>AM196+AN196+AO196+AP196+AQ196+AR196</f>
        <v>2373.606154586374</v>
      </c>
      <c r="AG196" s="161">
        <v>1.0680000000000001</v>
      </c>
      <c r="AH196" s="161">
        <v>1.056</v>
      </c>
      <c r="AI196" s="161">
        <v>1.0489999999999999</v>
      </c>
      <c r="AJ196" s="161">
        <v>1.139</v>
      </c>
      <c r="AK196" s="161">
        <v>1.0589999999999999</v>
      </c>
      <c r="AL196" s="161">
        <v>1.0529999999999999</v>
      </c>
      <c r="AM196" s="161">
        <v>0</v>
      </c>
      <c r="AN196" s="161">
        <v>0</v>
      </c>
      <c r="AO196" s="161">
        <v>0</v>
      </c>
      <c r="AP196" s="161">
        <v>0</v>
      </c>
      <c r="AQ196" s="155">
        <f>AD196*AG196*AH196*AI196*AJ196*AK196</f>
        <v>2373.606154586374</v>
      </c>
      <c r="AR196" s="161">
        <v>0</v>
      </c>
      <c r="AS196" s="94">
        <v>3275.0484000000001</v>
      </c>
      <c r="AT196" s="87">
        <v>4377.0550259030397</v>
      </c>
      <c r="AU196" s="99">
        <v>1.0740000000000001</v>
      </c>
      <c r="AV196" s="99">
        <v>1.0369999999999999</v>
      </c>
      <c r="AW196" s="99">
        <v>1.0389999999999999</v>
      </c>
      <c r="AX196" s="87">
        <v>0</v>
      </c>
      <c r="AY196" s="87">
        <v>4377.0550259030397</v>
      </c>
      <c r="AZ196" s="87">
        <v>0</v>
      </c>
      <c r="BA196" s="100" t="e">
        <f>#REF!-#REF!</f>
        <v>#REF!</v>
      </c>
    </row>
    <row r="197" spans="1:53" s="39" customFormat="1" ht="75" customHeight="1" x14ac:dyDescent="0.25">
      <c r="A197" s="182"/>
      <c r="B197" s="173"/>
      <c r="C197" s="176"/>
      <c r="D197" s="35" t="s">
        <v>229</v>
      </c>
      <c r="E197" s="35" t="s">
        <v>34</v>
      </c>
      <c r="F197" s="35">
        <v>0.35</v>
      </c>
      <c r="G197" s="40" t="s">
        <v>281</v>
      </c>
      <c r="H197" s="36">
        <v>199</v>
      </c>
      <c r="I197" s="36">
        <f>H197*F197</f>
        <v>69.649999999999991</v>
      </c>
      <c r="J197" s="36" t="s">
        <v>144</v>
      </c>
      <c r="K197" s="37">
        <v>1.1200000000000001</v>
      </c>
      <c r="L197" s="36">
        <f>K197*I197</f>
        <v>78.007999999999996</v>
      </c>
      <c r="M197" s="157"/>
      <c r="N197" s="157"/>
      <c r="O197" s="157"/>
      <c r="P197" s="154"/>
      <c r="Q197" s="154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4"/>
      <c r="AF197" s="154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57"/>
      <c r="AR197" s="163"/>
      <c r="AS197" s="94"/>
      <c r="AT197" s="87"/>
      <c r="AU197" s="99"/>
      <c r="AV197" s="99"/>
      <c r="AW197" s="99"/>
      <c r="AX197" s="87"/>
      <c r="AY197" s="87"/>
      <c r="AZ197" s="87"/>
      <c r="BA197" s="100"/>
    </row>
    <row r="198" spans="1:53" s="39" customFormat="1" ht="45" x14ac:dyDescent="0.25">
      <c r="A198" s="170">
        <v>49</v>
      </c>
      <c r="B198" s="171" t="s">
        <v>316</v>
      </c>
      <c r="C198" s="250">
        <v>0.4</v>
      </c>
      <c r="D198" s="53" t="s">
        <v>106</v>
      </c>
      <c r="E198" s="57" t="s">
        <v>107</v>
      </c>
      <c r="F198" s="53">
        <v>398</v>
      </c>
      <c r="G198" s="79" t="s">
        <v>108</v>
      </c>
      <c r="H198" s="80">
        <v>14</v>
      </c>
      <c r="I198" s="80">
        <f t="shared" ref="I198:I199" si="48">F198*H198</f>
        <v>5572</v>
      </c>
      <c r="J198" s="35" t="s">
        <v>100</v>
      </c>
      <c r="K198" s="81">
        <v>1.04</v>
      </c>
      <c r="L198" s="36">
        <f t="shared" ref="L198:L199" si="49">I198*K198</f>
        <v>5794.88</v>
      </c>
      <c r="M198" s="155" t="s">
        <v>175</v>
      </c>
      <c r="N198" s="155" t="s">
        <v>175</v>
      </c>
      <c r="O198" s="155" t="s">
        <v>175</v>
      </c>
      <c r="P198" s="153" t="s">
        <v>175</v>
      </c>
      <c r="Q198" s="153" t="s">
        <v>175</v>
      </c>
      <c r="R198" s="155" t="s">
        <v>175</v>
      </c>
      <c r="S198" s="155" t="s">
        <v>175</v>
      </c>
      <c r="T198" s="155" t="s">
        <v>175</v>
      </c>
      <c r="U198" s="155" t="s">
        <v>175</v>
      </c>
      <c r="V198" s="155" t="s">
        <v>175</v>
      </c>
      <c r="W198" s="155" t="s">
        <v>175</v>
      </c>
      <c r="X198" s="155" t="s">
        <v>175</v>
      </c>
      <c r="Y198" s="155" t="s">
        <v>175</v>
      </c>
      <c r="Z198" s="155" t="s">
        <v>175</v>
      </c>
      <c r="AA198" s="155" t="s">
        <v>175</v>
      </c>
      <c r="AB198" s="155" t="s">
        <v>175</v>
      </c>
      <c r="AC198" s="155" t="s">
        <v>175</v>
      </c>
      <c r="AD198" s="155">
        <f>SUM(L198:L201)*1.2</f>
        <v>13122.432000000001</v>
      </c>
      <c r="AE198" s="153">
        <f>AD198*AG198*AH198*AI198*AJ198</f>
        <v>16890.982644953274</v>
      </c>
      <c r="AF198" s="153">
        <f>AM198+AN198+AO198+AP198+AQ198+AR198</f>
        <v>17887.550621005517</v>
      </c>
      <c r="AG198" s="161">
        <v>1.032</v>
      </c>
      <c r="AH198" s="161">
        <v>1.038</v>
      </c>
      <c r="AI198" s="161">
        <v>1.07</v>
      </c>
      <c r="AJ198" s="161">
        <v>1.123</v>
      </c>
      <c r="AK198" s="161">
        <v>1.0589999999999999</v>
      </c>
      <c r="AL198" s="161">
        <v>1.0509999999999999</v>
      </c>
      <c r="AM198" s="198">
        <v>0</v>
      </c>
      <c r="AN198" s="198">
        <v>0</v>
      </c>
      <c r="AO198" s="198">
        <v>0</v>
      </c>
      <c r="AP198" s="198">
        <v>0</v>
      </c>
      <c r="AQ198" s="199">
        <f>AD198*AG198*AH198*AI198*AJ198*AK198</f>
        <v>17887.550621005517</v>
      </c>
      <c r="AR198" s="198">
        <v>0</v>
      </c>
      <c r="AS198" s="206">
        <v>3275.0484000000001</v>
      </c>
      <c r="AT198" s="199">
        <v>4377.0550259030397</v>
      </c>
      <c r="AU198" s="198">
        <v>1.0740000000000001</v>
      </c>
      <c r="AV198" s="198">
        <v>1.0369999999999999</v>
      </c>
      <c r="AW198" s="161">
        <v>1.0389999999999999</v>
      </c>
      <c r="AX198" s="199">
        <v>0</v>
      </c>
      <c r="AY198" s="199">
        <v>4377.0550259030397</v>
      </c>
      <c r="AZ198" s="199">
        <v>0</v>
      </c>
      <c r="BA198" s="195" t="e">
        <f>#REF!-#REF!</f>
        <v>#REF!</v>
      </c>
    </row>
    <row r="199" spans="1:53" s="39" customFormat="1" ht="104.25" customHeight="1" x14ac:dyDescent="0.25">
      <c r="A199" s="170"/>
      <c r="B199" s="172"/>
      <c r="C199" s="251"/>
      <c r="D199" s="53" t="s">
        <v>109</v>
      </c>
      <c r="E199" s="57" t="s">
        <v>107</v>
      </c>
      <c r="F199" s="53">
        <v>55</v>
      </c>
      <c r="G199" s="79" t="s">
        <v>110</v>
      </c>
      <c r="H199" s="80">
        <v>24</v>
      </c>
      <c r="I199" s="80">
        <f t="shared" si="48"/>
        <v>1320</v>
      </c>
      <c r="J199" s="35" t="s">
        <v>100</v>
      </c>
      <c r="K199" s="81">
        <v>1.04</v>
      </c>
      <c r="L199" s="36">
        <f t="shared" si="49"/>
        <v>1372.8</v>
      </c>
      <c r="M199" s="156"/>
      <c r="N199" s="156"/>
      <c r="O199" s="156"/>
      <c r="P199" s="158"/>
      <c r="Q199" s="158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8"/>
      <c r="AF199" s="158"/>
      <c r="AG199" s="162"/>
      <c r="AH199" s="162"/>
      <c r="AI199" s="162"/>
      <c r="AJ199" s="162"/>
      <c r="AK199" s="162"/>
      <c r="AL199" s="162"/>
      <c r="AM199" s="198"/>
      <c r="AN199" s="198"/>
      <c r="AO199" s="198"/>
      <c r="AP199" s="198"/>
      <c r="AQ199" s="199"/>
      <c r="AR199" s="198"/>
      <c r="AS199" s="206"/>
      <c r="AT199" s="199"/>
      <c r="AU199" s="198"/>
      <c r="AV199" s="198"/>
      <c r="AW199" s="162"/>
      <c r="AX199" s="199"/>
      <c r="AY199" s="199"/>
      <c r="AZ199" s="199"/>
      <c r="BA199" s="195"/>
    </row>
    <row r="200" spans="1:53" s="39" customFormat="1" ht="104.25" customHeight="1" x14ac:dyDescent="0.25">
      <c r="A200" s="170"/>
      <c r="B200" s="172"/>
      <c r="C200" s="251"/>
      <c r="D200" s="35" t="s">
        <v>52</v>
      </c>
      <c r="E200" s="35" t="s">
        <v>41</v>
      </c>
      <c r="F200" s="35">
        <v>1</v>
      </c>
      <c r="G200" s="40" t="s">
        <v>98</v>
      </c>
      <c r="H200" s="36">
        <v>500</v>
      </c>
      <c r="I200" s="36">
        <v>500</v>
      </c>
      <c r="J200" s="36" t="s">
        <v>36</v>
      </c>
      <c r="K200" s="37" t="s">
        <v>36</v>
      </c>
      <c r="L200" s="36">
        <v>500</v>
      </c>
      <c r="M200" s="156"/>
      <c r="N200" s="156"/>
      <c r="O200" s="156"/>
      <c r="P200" s="158"/>
      <c r="Q200" s="158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8"/>
      <c r="AF200" s="158"/>
      <c r="AG200" s="162"/>
      <c r="AH200" s="162"/>
      <c r="AI200" s="162"/>
      <c r="AJ200" s="162"/>
      <c r="AK200" s="162"/>
      <c r="AL200" s="162"/>
      <c r="AM200" s="198"/>
      <c r="AN200" s="198"/>
      <c r="AO200" s="198"/>
      <c r="AP200" s="198"/>
      <c r="AQ200" s="199"/>
      <c r="AR200" s="198"/>
      <c r="AS200" s="206"/>
      <c r="AT200" s="199"/>
      <c r="AU200" s="198"/>
      <c r="AV200" s="198"/>
      <c r="AW200" s="162"/>
      <c r="AX200" s="199"/>
      <c r="AY200" s="199"/>
      <c r="AZ200" s="199"/>
      <c r="BA200" s="195"/>
    </row>
    <row r="201" spans="1:53" s="39" customFormat="1" ht="90.75" customHeight="1" x14ac:dyDescent="0.25">
      <c r="A201" s="170"/>
      <c r="B201" s="172"/>
      <c r="C201" s="251"/>
      <c r="D201" s="53" t="s">
        <v>113</v>
      </c>
      <c r="E201" s="35" t="s">
        <v>33</v>
      </c>
      <c r="F201" s="53">
        <v>2</v>
      </c>
      <c r="G201" s="79" t="s">
        <v>114</v>
      </c>
      <c r="H201" s="80">
        <v>1571</v>
      </c>
      <c r="I201" s="80">
        <f t="shared" ref="I201:I224" si="50">F201*H201</f>
        <v>3142</v>
      </c>
      <c r="J201" s="35" t="s">
        <v>100</v>
      </c>
      <c r="K201" s="81">
        <v>1.04</v>
      </c>
      <c r="L201" s="36">
        <f t="shared" ref="L201" si="51">I201*K201</f>
        <v>3267.6800000000003</v>
      </c>
      <c r="M201" s="156"/>
      <c r="N201" s="156"/>
      <c r="O201" s="156"/>
      <c r="P201" s="158"/>
      <c r="Q201" s="158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4"/>
      <c r="AF201" s="154"/>
      <c r="AG201" s="162"/>
      <c r="AH201" s="162"/>
      <c r="AI201" s="162"/>
      <c r="AJ201" s="162"/>
      <c r="AK201" s="162"/>
      <c r="AL201" s="162"/>
      <c r="AM201" s="198"/>
      <c r="AN201" s="198"/>
      <c r="AO201" s="198"/>
      <c r="AP201" s="198"/>
      <c r="AQ201" s="199"/>
      <c r="AR201" s="198"/>
      <c r="AS201" s="206"/>
      <c r="AT201" s="199"/>
      <c r="AU201" s="198"/>
      <c r="AV201" s="198"/>
      <c r="AW201" s="162"/>
      <c r="AX201" s="199"/>
      <c r="AY201" s="199"/>
      <c r="AZ201" s="199"/>
      <c r="BA201" s="195"/>
    </row>
    <row r="202" spans="1:53" ht="90" x14ac:dyDescent="0.25">
      <c r="A202" s="168">
        <v>50</v>
      </c>
      <c r="B202" s="166" t="s">
        <v>321</v>
      </c>
      <c r="C202" s="192">
        <v>0.4</v>
      </c>
      <c r="D202" s="122" t="s">
        <v>307</v>
      </c>
      <c r="E202" s="122" t="s">
        <v>34</v>
      </c>
      <c r="F202" s="122">
        <v>2.2970000000000002</v>
      </c>
      <c r="G202" s="31" t="s">
        <v>308</v>
      </c>
      <c r="H202" s="118">
        <v>517</v>
      </c>
      <c r="I202" s="118">
        <f t="shared" ref="I202:I204" si="52">F202*H202</f>
        <v>1187.549</v>
      </c>
      <c r="J202" s="118" t="s">
        <v>55</v>
      </c>
      <c r="K202" s="33">
        <v>1.05</v>
      </c>
      <c r="L202" s="118">
        <f>I202*K202</f>
        <v>1246.9264499999999</v>
      </c>
      <c r="M202" s="153" t="s">
        <v>175</v>
      </c>
      <c r="N202" s="153" t="s">
        <v>175</v>
      </c>
      <c r="O202" s="153" t="s">
        <v>175</v>
      </c>
      <c r="P202" s="153" t="s">
        <v>175</v>
      </c>
      <c r="Q202" s="153" t="s">
        <v>175</v>
      </c>
      <c r="R202" s="153" t="s">
        <v>175</v>
      </c>
      <c r="S202" s="153" t="s">
        <v>175</v>
      </c>
      <c r="T202" s="153" t="s">
        <v>175</v>
      </c>
      <c r="U202" s="153" t="s">
        <v>175</v>
      </c>
      <c r="V202" s="153" t="s">
        <v>175</v>
      </c>
      <c r="W202" s="153" t="s">
        <v>175</v>
      </c>
      <c r="X202" s="153" t="s">
        <v>175</v>
      </c>
      <c r="Y202" s="153" t="s">
        <v>175</v>
      </c>
      <c r="Z202" s="153" t="s">
        <v>175</v>
      </c>
      <c r="AA202" s="153" t="s">
        <v>175</v>
      </c>
      <c r="AB202" s="153" t="s">
        <v>175</v>
      </c>
      <c r="AC202" s="153" t="s">
        <v>175</v>
      </c>
      <c r="AD202" s="153">
        <f>SUM(L202:L207)*1.2</f>
        <v>32119.967759999996</v>
      </c>
      <c r="AE202" s="153">
        <f>AD202*AG202*AH202*AI202*AJ202</f>
        <v>43282.215581769444</v>
      </c>
      <c r="AF202" s="153">
        <f>AM202+AN202+AO202+AP202+AQ202+AR202</f>
        <v>45835.86630109384</v>
      </c>
      <c r="AG202" s="151">
        <v>1.0680000000000001</v>
      </c>
      <c r="AH202" s="151">
        <v>1.056</v>
      </c>
      <c r="AI202" s="151">
        <v>1.0489999999999999</v>
      </c>
      <c r="AJ202" s="151">
        <v>1.139</v>
      </c>
      <c r="AK202" s="151">
        <v>1.0589999999999999</v>
      </c>
      <c r="AL202" s="151">
        <v>1.0529999999999999</v>
      </c>
      <c r="AM202" s="151">
        <v>0</v>
      </c>
      <c r="AN202" s="151">
        <v>0</v>
      </c>
      <c r="AO202" s="151">
        <v>0</v>
      </c>
      <c r="AP202" s="151">
        <v>0</v>
      </c>
      <c r="AQ202" s="153">
        <f>AD202*AG202*AH202*AI202*AJ202*AK202</f>
        <v>45835.86630109384</v>
      </c>
      <c r="AR202" s="151">
        <v>0</v>
      </c>
      <c r="AS202" s="184">
        <v>3275.0484000000001</v>
      </c>
      <c r="AT202" s="153">
        <v>4377.0550259030397</v>
      </c>
      <c r="AU202" s="151">
        <v>1.0740000000000001</v>
      </c>
      <c r="AV202" s="151">
        <v>1.0369999999999999</v>
      </c>
      <c r="AW202" s="151">
        <v>1.0389999999999999</v>
      </c>
      <c r="AX202" s="153">
        <v>0</v>
      </c>
      <c r="AY202" s="153">
        <v>4377.0550259030397</v>
      </c>
      <c r="AZ202" s="153">
        <v>0</v>
      </c>
      <c r="BA202" s="187" t="e">
        <f>#REF!-#REF!</f>
        <v>#REF!</v>
      </c>
    </row>
    <row r="203" spans="1:53" ht="104.25" customHeight="1" x14ac:dyDescent="0.25">
      <c r="A203" s="190"/>
      <c r="B203" s="191"/>
      <c r="C203" s="193"/>
      <c r="D203" s="122" t="s">
        <v>317</v>
      </c>
      <c r="E203" s="122" t="s">
        <v>45</v>
      </c>
      <c r="F203" s="122">
        <v>33.299999999999997</v>
      </c>
      <c r="G203" s="31" t="s">
        <v>318</v>
      </c>
      <c r="H203" s="118">
        <v>699</v>
      </c>
      <c r="I203" s="118">
        <f t="shared" si="52"/>
        <v>23276.699999999997</v>
      </c>
      <c r="J203" s="118" t="s">
        <v>55</v>
      </c>
      <c r="K203" s="33">
        <v>1.05</v>
      </c>
      <c r="L203" s="118">
        <f>I203*K203</f>
        <v>24440.534999999996</v>
      </c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58"/>
      <c r="AR203" s="183"/>
      <c r="AS203" s="185"/>
      <c r="AT203" s="158"/>
      <c r="AU203" s="183"/>
      <c r="AV203" s="183"/>
      <c r="AW203" s="183"/>
      <c r="AX203" s="158"/>
      <c r="AY203" s="158"/>
      <c r="AZ203" s="158"/>
      <c r="BA203" s="188"/>
    </row>
    <row r="204" spans="1:53" ht="104.25" customHeight="1" x14ac:dyDescent="0.25">
      <c r="A204" s="190"/>
      <c r="B204" s="191"/>
      <c r="C204" s="193"/>
      <c r="D204" s="122" t="s">
        <v>319</v>
      </c>
      <c r="E204" s="122" t="s">
        <v>34</v>
      </c>
      <c r="F204" s="122">
        <v>1.097</v>
      </c>
      <c r="G204" s="31" t="s">
        <v>320</v>
      </c>
      <c r="H204" s="118">
        <v>291</v>
      </c>
      <c r="I204" s="118">
        <f t="shared" si="52"/>
        <v>319.22699999999998</v>
      </c>
      <c r="J204" s="118" t="s">
        <v>55</v>
      </c>
      <c r="K204" s="33">
        <v>1.05</v>
      </c>
      <c r="L204" s="118">
        <f>I204*K204</f>
        <v>335.18835000000001</v>
      </c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58"/>
      <c r="AR204" s="183"/>
      <c r="AS204" s="185"/>
      <c r="AT204" s="158"/>
      <c r="AU204" s="183"/>
      <c r="AV204" s="183"/>
      <c r="AW204" s="183"/>
      <c r="AX204" s="158"/>
      <c r="AY204" s="158"/>
      <c r="AZ204" s="158"/>
      <c r="BA204" s="188"/>
    </row>
    <row r="205" spans="1:53" ht="90.75" customHeight="1" x14ac:dyDescent="0.25">
      <c r="A205" s="190"/>
      <c r="B205" s="191"/>
      <c r="C205" s="193"/>
      <c r="D205" s="122" t="s">
        <v>353</v>
      </c>
      <c r="E205" s="122" t="s">
        <v>34</v>
      </c>
      <c r="F205" s="122">
        <v>1.2</v>
      </c>
      <c r="G205" s="31" t="s">
        <v>352</v>
      </c>
      <c r="H205" s="118">
        <v>120</v>
      </c>
      <c r="I205" s="118">
        <f>F205*H205</f>
        <v>144</v>
      </c>
      <c r="J205" s="118" t="s">
        <v>55</v>
      </c>
      <c r="K205" s="33">
        <v>1.05</v>
      </c>
      <c r="L205" s="118">
        <f>I205*K205</f>
        <v>151.20000000000002</v>
      </c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58"/>
      <c r="AR205" s="183"/>
      <c r="AS205" s="185"/>
      <c r="AT205" s="158"/>
      <c r="AU205" s="183"/>
      <c r="AV205" s="183"/>
      <c r="AW205" s="183"/>
      <c r="AX205" s="158"/>
      <c r="AY205" s="158"/>
      <c r="AZ205" s="158"/>
      <c r="BA205" s="188"/>
    </row>
    <row r="206" spans="1:53" ht="84.75" customHeight="1" x14ac:dyDescent="0.25">
      <c r="A206" s="190"/>
      <c r="B206" s="191"/>
      <c r="C206" s="193"/>
      <c r="D206" s="122" t="s">
        <v>48</v>
      </c>
      <c r="E206" s="122" t="s">
        <v>49</v>
      </c>
      <c r="F206" s="122">
        <v>0.17</v>
      </c>
      <c r="G206" s="31" t="s">
        <v>51</v>
      </c>
      <c r="H206" s="118">
        <v>187</v>
      </c>
      <c r="I206" s="118">
        <f t="shared" ref="I206:I217" si="53">F206*H206</f>
        <v>31.790000000000003</v>
      </c>
      <c r="J206" s="118" t="s">
        <v>36</v>
      </c>
      <c r="K206" s="33" t="s">
        <v>36</v>
      </c>
      <c r="L206" s="118">
        <f>I206</f>
        <v>31.790000000000003</v>
      </c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58"/>
      <c r="AR206" s="183"/>
      <c r="AS206" s="185"/>
      <c r="AT206" s="158"/>
      <c r="AU206" s="183"/>
      <c r="AV206" s="183"/>
      <c r="AW206" s="183"/>
      <c r="AX206" s="158"/>
      <c r="AY206" s="158"/>
      <c r="AZ206" s="158"/>
      <c r="BA206" s="188"/>
    </row>
    <row r="207" spans="1:53" ht="37.5" customHeight="1" x14ac:dyDescent="0.25">
      <c r="A207" s="169"/>
      <c r="B207" s="167"/>
      <c r="C207" s="194"/>
      <c r="D207" s="122" t="s">
        <v>265</v>
      </c>
      <c r="E207" s="122" t="s">
        <v>207</v>
      </c>
      <c r="F207" s="122">
        <v>1</v>
      </c>
      <c r="G207" s="31" t="s">
        <v>266</v>
      </c>
      <c r="H207" s="118">
        <v>561</v>
      </c>
      <c r="I207" s="118">
        <f t="shared" si="53"/>
        <v>561</v>
      </c>
      <c r="J207" s="118" t="s">
        <v>36</v>
      </c>
      <c r="K207" s="118" t="s">
        <v>36</v>
      </c>
      <c r="L207" s="118">
        <f>I207</f>
        <v>561</v>
      </c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4"/>
      <c r="AR207" s="152"/>
      <c r="AS207" s="186"/>
      <c r="AT207" s="154"/>
      <c r="AU207" s="152"/>
      <c r="AV207" s="152"/>
      <c r="AW207" s="152"/>
      <c r="AX207" s="154"/>
      <c r="AY207" s="154"/>
      <c r="AZ207" s="154"/>
      <c r="BA207" s="189"/>
    </row>
    <row r="208" spans="1:53" ht="90" x14ac:dyDescent="0.25">
      <c r="A208" s="168">
        <v>51</v>
      </c>
      <c r="B208" s="166" t="s">
        <v>322</v>
      </c>
      <c r="C208" s="192">
        <v>0.4</v>
      </c>
      <c r="D208" s="122" t="s">
        <v>307</v>
      </c>
      <c r="E208" s="122" t="s">
        <v>34</v>
      </c>
      <c r="F208" s="122">
        <v>10.243</v>
      </c>
      <c r="G208" s="31" t="s">
        <v>308</v>
      </c>
      <c r="H208" s="118">
        <v>517</v>
      </c>
      <c r="I208" s="118">
        <f t="shared" ref="I208:I212" si="54">F208*H208</f>
        <v>5295.6310000000003</v>
      </c>
      <c r="J208" s="118" t="s">
        <v>55</v>
      </c>
      <c r="K208" s="33">
        <v>1.05</v>
      </c>
      <c r="L208" s="118">
        <f>I208*K208</f>
        <v>5560.4125500000009</v>
      </c>
      <c r="M208" s="153" t="s">
        <v>175</v>
      </c>
      <c r="N208" s="153" t="s">
        <v>175</v>
      </c>
      <c r="O208" s="153" t="s">
        <v>175</v>
      </c>
      <c r="P208" s="153" t="s">
        <v>175</v>
      </c>
      <c r="Q208" s="153" t="s">
        <v>175</v>
      </c>
      <c r="R208" s="153" t="s">
        <v>175</v>
      </c>
      <c r="S208" s="153" t="s">
        <v>175</v>
      </c>
      <c r="T208" s="153" t="s">
        <v>175</v>
      </c>
      <c r="U208" s="153" t="s">
        <v>175</v>
      </c>
      <c r="V208" s="153" t="s">
        <v>175</v>
      </c>
      <c r="W208" s="153" t="s">
        <v>175</v>
      </c>
      <c r="X208" s="153" t="s">
        <v>175</v>
      </c>
      <c r="Y208" s="153" t="s">
        <v>175</v>
      </c>
      <c r="Z208" s="153" t="s">
        <v>175</v>
      </c>
      <c r="AA208" s="153" t="s">
        <v>175</v>
      </c>
      <c r="AB208" s="153" t="s">
        <v>175</v>
      </c>
      <c r="AC208" s="153" t="s">
        <v>175</v>
      </c>
      <c r="AD208" s="153">
        <f>SUM(L208:L214)*1.2</f>
        <v>189070.26072000002</v>
      </c>
      <c r="AE208" s="153">
        <f>AD208*AG208*AH208*AI208*AJ208</f>
        <v>254775.46695346985</v>
      </c>
      <c r="AF208" s="153">
        <f>AM208+AN208+AO208+AP208+AQ208+AR208</f>
        <v>269807.21950372454</v>
      </c>
      <c r="AG208" s="151">
        <v>1.0680000000000001</v>
      </c>
      <c r="AH208" s="151">
        <v>1.056</v>
      </c>
      <c r="AI208" s="151">
        <v>1.0489999999999999</v>
      </c>
      <c r="AJ208" s="151">
        <v>1.139</v>
      </c>
      <c r="AK208" s="151">
        <v>1.0589999999999999</v>
      </c>
      <c r="AL208" s="151">
        <v>1.0529999999999999</v>
      </c>
      <c r="AM208" s="151">
        <v>0</v>
      </c>
      <c r="AN208" s="151">
        <v>0</v>
      </c>
      <c r="AO208" s="151">
        <v>0</v>
      </c>
      <c r="AP208" s="151">
        <v>0</v>
      </c>
      <c r="AQ208" s="153">
        <f>AD208*AG208*AH208*AI208*AJ208*AK208</f>
        <v>269807.21950372454</v>
      </c>
      <c r="AR208" s="151">
        <v>0</v>
      </c>
      <c r="AS208" s="184">
        <v>3275.0484000000001</v>
      </c>
      <c r="AT208" s="153">
        <v>4377.0550259030397</v>
      </c>
      <c r="AU208" s="151">
        <v>1.0740000000000001</v>
      </c>
      <c r="AV208" s="151">
        <v>1.0369999999999999</v>
      </c>
      <c r="AW208" s="151">
        <v>1.0389999999999999</v>
      </c>
      <c r="AX208" s="153">
        <v>0</v>
      </c>
      <c r="AY208" s="153">
        <v>4377.0550259030397</v>
      </c>
      <c r="AZ208" s="153">
        <v>0</v>
      </c>
      <c r="BA208" s="187" t="e">
        <f>#REF!-#REF!</f>
        <v>#REF!</v>
      </c>
    </row>
    <row r="209" spans="1:53" ht="104.25" customHeight="1" x14ac:dyDescent="0.25">
      <c r="A209" s="190"/>
      <c r="B209" s="191"/>
      <c r="C209" s="193"/>
      <c r="D209" s="122" t="s">
        <v>317</v>
      </c>
      <c r="E209" s="122" t="s">
        <v>45</v>
      </c>
      <c r="F209" s="122">
        <v>203.4</v>
      </c>
      <c r="G209" s="31" t="s">
        <v>318</v>
      </c>
      <c r="H209" s="118">
        <v>699</v>
      </c>
      <c r="I209" s="118">
        <f t="shared" si="54"/>
        <v>142176.6</v>
      </c>
      <c r="J209" s="118" t="s">
        <v>55</v>
      </c>
      <c r="K209" s="33">
        <v>1.05</v>
      </c>
      <c r="L209" s="118">
        <f>I209*K209</f>
        <v>149285.43000000002</v>
      </c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58"/>
      <c r="AR209" s="183"/>
      <c r="AS209" s="185"/>
      <c r="AT209" s="158"/>
      <c r="AU209" s="183"/>
      <c r="AV209" s="183"/>
      <c r="AW209" s="183"/>
      <c r="AX209" s="158"/>
      <c r="AY209" s="158"/>
      <c r="AZ209" s="158"/>
      <c r="BA209" s="188"/>
    </row>
    <row r="210" spans="1:53" ht="104.25" customHeight="1" x14ac:dyDescent="0.25">
      <c r="A210" s="190"/>
      <c r="B210" s="191"/>
      <c r="C210" s="193"/>
      <c r="D210" s="122" t="s">
        <v>319</v>
      </c>
      <c r="E210" s="122" t="s">
        <v>34</v>
      </c>
      <c r="F210" s="122">
        <v>4.431</v>
      </c>
      <c r="G210" s="31" t="s">
        <v>320</v>
      </c>
      <c r="H210" s="118">
        <v>291</v>
      </c>
      <c r="I210" s="118">
        <f t="shared" si="54"/>
        <v>1289.421</v>
      </c>
      <c r="J210" s="118" t="s">
        <v>55</v>
      </c>
      <c r="K210" s="33">
        <v>1.05</v>
      </c>
      <c r="L210" s="118">
        <f>I210*K210</f>
        <v>1353.8920500000002</v>
      </c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58"/>
      <c r="AR210" s="183"/>
      <c r="AS210" s="185"/>
      <c r="AT210" s="158"/>
      <c r="AU210" s="183"/>
      <c r="AV210" s="183"/>
      <c r="AW210" s="183"/>
      <c r="AX210" s="158"/>
      <c r="AY210" s="158"/>
      <c r="AZ210" s="158"/>
      <c r="BA210" s="188"/>
    </row>
    <row r="211" spans="1:53" ht="90.75" customHeight="1" x14ac:dyDescent="0.25">
      <c r="A211" s="190"/>
      <c r="B211" s="191"/>
      <c r="C211" s="193"/>
      <c r="D211" s="122" t="s">
        <v>353</v>
      </c>
      <c r="E211" s="122" t="s">
        <v>34</v>
      </c>
      <c r="F211" s="122">
        <v>5.12</v>
      </c>
      <c r="G211" s="31" t="s">
        <v>349</v>
      </c>
      <c r="H211" s="118">
        <v>120</v>
      </c>
      <c r="I211" s="118">
        <f t="shared" ref="I211" si="55">F211*H211</f>
        <v>614.4</v>
      </c>
      <c r="J211" s="118" t="s">
        <v>55</v>
      </c>
      <c r="K211" s="33">
        <v>1.05</v>
      </c>
      <c r="L211" s="118">
        <f>I211*K211</f>
        <v>645.12</v>
      </c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58"/>
      <c r="AR211" s="183"/>
      <c r="AS211" s="185"/>
      <c r="AT211" s="158"/>
      <c r="AU211" s="183"/>
      <c r="AV211" s="183"/>
      <c r="AW211" s="183"/>
      <c r="AX211" s="158"/>
      <c r="AY211" s="158"/>
      <c r="AZ211" s="158"/>
      <c r="BA211" s="188"/>
    </row>
    <row r="212" spans="1:53" ht="90.75" customHeight="1" x14ac:dyDescent="0.25">
      <c r="A212" s="190"/>
      <c r="B212" s="191"/>
      <c r="C212" s="193"/>
      <c r="D212" s="122" t="s">
        <v>350</v>
      </c>
      <c r="E212" s="122" t="s">
        <v>34</v>
      </c>
      <c r="F212" s="122">
        <v>0.56000000000000005</v>
      </c>
      <c r="G212" s="31" t="s">
        <v>351</v>
      </c>
      <c r="H212" s="118">
        <v>177</v>
      </c>
      <c r="I212" s="118">
        <f t="shared" si="54"/>
        <v>99.12</v>
      </c>
      <c r="J212" s="118" t="s">
        <v>55</v>
      </c>
      <c r="K212" s="33">
        <v>1.05</v>
      </c>
      <c r="L212" s="118">
        <f>I212*K212</f>
        <v>104.07600000000001</v>
      </c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58"/>
      <c r="AR212" s="183"/>
      <c r="AS212" s="185"/>
      <c r="AT212" s="158"/>
      <c r="AU212" s="183"/>
      <c r="AV212" s="183"/>
      <c r="AW212" s="183"/>
      <c r="AX212" s="158"/>
      <c r="AY212" s="158"/>
      <c r="AZ212" s="158"/>
      <c r="BA212" s="188"/>
    </row>
    <row r="213" spans="1:53" ht="84.75" customHeight="1" x14ac:dyDescent="0.25">
      <c r="A213" s="190"/>
      <c r="B213" s="191"/>
      <c r="C213" s="193"/>
      <c r="D213" s="122" t="s">
        <v>48</v>
      </c>
      <c r="E213" s="122" t="s">
        <v>49</v>
      </c>
      <c r="F213" s="122">
        <v>0.26</v>
      </c>
      <c r="G213" s="31" t="s">
        <v>51</v>
      </c>
      <c r="H213" s="118">
        <v>187</v>
      </c>
      <c r="I213" s="118">
        <f t="shared" ref="I213:I214" si="56">F213*H213</f>
        <v>48.620000000000005</v>
      </c>
      <c r="J213" s="118" t="s">
        <v>36</v>
      </c>
      <c r="K213" s="33" t="s">
        <v>36</v>
      </c>
      <c r="L213" s="118">
        <f>I213</f>
        <v>48.620000000000005</v>
      </c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58"/>
      <c r="AR213" s="183"/>
      <c r="AS213" s="185"/>
      <c r="AT213" s="158"/>
      <c r="AU213" s="183"/>
      <c r="AV213" s="183"/>
      <c r="AW213" s="183"/>
      <c r="AX213" s="158"/>
      <c r="AY213" s="158"/>
      <c r="AZ213" s="158"/>
      <c r="BA213" s="188"/>
    </row>
    <row r="214" spans="1:53" ht="37.5" customHeight="1" x14ac:dyDescent="0.25">
      <c r="A214" s="169"/>
      <c r="B214" s="167"/>
      <c r="C214" s="194"/>
      <c r="D214" s="122" t="s">
        <v>265</v>
      </c>
      <c r="E214" s="122" t="s">
        <v>207</v>
      </c>
      <c r="F214" s="122">
        <v>1</v>
      </c>
      <c r="G214" s="31" t="s">
        <v>266</v>
      </c>
      <c r="H214" s="118">
        <v>561</v>
      </c>
      <c r="I214" s="118">
        <f t="shared" si="56"/>
        <v>561</v>
      </c>
      <c r="J214" s="118" t="s">
        <v>36</v>
      </c>
      <c r="K214" s="118" t="s">
        <v>36</v>
      </c>
      <c r="L214" s="118">
        <f>I214</f>
        <v>561</v>
      </c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4"/>
      <c r="AR214" s="152"/>
      <c r="AS214" s="186"/>
      <c r="AT214" s="154"/>
      <c r="AU214" s="152"/>
      <c r="AV214" s="152"/>
      <c r="AW214" s="152"/>
      <c r="AX214" s="154"/>
      <c r="AY214" s="154"/>
      <c r="AZ214" s="154"/>
      <c r="BA214" s="189"/>
    </row>
    <row r="215" spans="1:53" ht="90" x14ac:dyDescent="0.25">
      <c r="A215" s="168">
        <v>52</v>
      </c>
      <c r="B215" s="166" t="s">
        <v>323</v>
      </c>
      <c r="C215" s="192">
        <v>0.4</v>
      </c>
      <c r="D215" s="122" t="s">
        <v>307</v>
      </c>
      <c r="E215" s="122" t="s">
        <v>34</v>
      </c>
      <c r="F215" s="122">
        <v>2.7469999999999999</v>
      </c>
      <c r="G215" s="31" t="s">
        <v>308</v>
      </c>
      <c r="H215" s="118">
        <v>517</v>
      </c>
      <c r="I215" s="118">
        <f t="shared" si="53"/>
        <v>1420.1989999999998</v>
      </c>
      <c r="J215" s="118" t="s">
        <v>55</v>
      </c>
      <c r="K215" s="33">
        <v>1.05</v>
      </c>
      <c r="L215" s="118">
        <f>I215*K215</f>
        <v>1491.20895</v>
      </c>
      <c r="M215" s="153" t="s">
        <v>175</v>
      </c>
      <c r="N215" s="153" t="s">
        <v>175</v>
      </c>
      <c r="O215" s="153" t="s">
        <v>175</v>
      </c>
      <c r="P215" s="153" t="s">
        <v>175</v>
      </c>
      <c r="Q215" s="153" t="s">
        <v>175</v>
      </c>
      <c r="R215" s="153" t="s">
        <v>175</v>
      </c>
      <c r="S215" s="153" t="s">
        <v>175</v>
      </c>
      <c r="T215" s="153" t="s">
        <v>175</v>
      </c>
      <c r="U215" s="153" t="s">
        <v>175</v>
      </c>
      <c r="V215" s="153" t="s">
        <v>175</v>
      </c>
      <c r="W215" s="153" t="s">
        <v>175</v>
      </c>
      <c r="X215" s="153" t="s">
        <v>175</v>
      </c>
      <c r="Y215" s="153" t="s">
        <v>175</v>
      </c>
      <c r="Z215" s="153" t="s">
        <v>175</v>
      </c>
      <c r="AA215" s="153" t="s">
        <v>175</v>
      </c>
      <c r="AB215" s="153" t="s">
        <v>175</v>
      </c>
      <c r="AC215" s="153" t="s">
        <v>175</v>
      </c>
      <c r="AD215" s="153">
        <f>SUM(L215:L221)*1.2</f>
        <v>34189.275840000002</v>
      </c>
      <c r="AE215" s="153">
        <f>AD215*AG215*AH215*AI215*AJ215</f>
        <v>46070.644234403233</v>
      </c>
      <c r="AF215" s="153">
        <f>AM215+AN215+AO215+AP215+AQ215+AR215</f>
        <v>48788.81224423302</v>
      </c>
      <c r="AG215" s="151">
        <v>1.0680000000000001</v>
      </c>
      <c r="AH215" s="151">
        <v>1.056</v>
      </c>
      <c r="AI215" s="151">
        <v>1.0489999999999999</v>
      </c>
      <c r="AJ215" s="151">
        <v>1.139</v>
      </c>
      <c r="AK215" s="151">
        <v>1.0589999999999999</v>
      </c>
      <c r="AL215" s="151">
        <v>1.0529999999999999</v>
      </c>
      <c r="AM215" s="151">
        <v>0</v>
      </c>
      <c r="AN215" s="151">
        <v>0</v>
      </c>
      <c r="AO215" s="151">
        <v>0</v>
      </c>
      <c r="AP215" s="151">
        <v>0</v>
      </c>
      <c r="AQ215" s="153">
        <f>AD215*AG215*AH215*AI215*AJ215*AK215</f>
        <v>48788.81224423302</v>
      </c>
      <c r="AR215" s="151">
        <v>0</v>
      </c>
      <c r="AS215" s="184">
        <v>3275.0484000000001</v>
      </c>
      <c r="AT215" s="153">
        <v>4377.0550259030397</v>
      </c>
      <c r="AU215" s="151">
        <v>1.0740000000000001</v>
      </c>
      <c r="AV215" s="151">
        <v>1.0369999999999999</v>
      </c>
      <c r="AW215" s="151">
        <v>1.0389999999999999</v>
      </c>
      <c r="AX215" s="153">
        <v>0</v>
      </c>
      <c r="AY215" s="153">
        <v>4377.0550259030397</v>
      </c>
      <c r="AZ215" s="153">
        <v>0</v>
      </c>
      <c r="BA215" s="187" t="e">
        <f>#REF!-#REF!</f>
        <v>#REF!</v>
      </c>
    </row>
    <row r="216" spans="1:53" ht="104.25" customHeight="1" x14ac:dyDescent="0.25">
      <c r="A216" s="190"/>
      <c r="B216" s="191"/>
      <c r="C216" s="193"/>
      <c r="D216" s="122" t="s">
        <v>317</v>
      </c>
      <c r="E216" s="122" t="s">
        <v>45</v>
      </c>
      <c r="F216" s="122">
        <v>35.1</v>
      </c>
      <c r="G216" s="31" t="s">
        <v>318</v>
      </c>
      <c r="H216" s="118">
        <v>699</v>
      </c>
      <c r="I216" s="118">
        <f t="shared" si="53"/>
        <v>24534.9</v>
      </c>
      <c r="J216" s="118" t="s">
        <v>55</v>
      </c>
      <c r="K216" s="33">
        <v>1.05</v>
      </c>
      <c r="L216" s="118">
        <f>I216*K216</f>
        <v>25761.645000000004</v>
      </c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58"/>
      <c r="AR216" s="183"/>
      <c r="AS216" s="185"/>
      <c r="AT216" s="158"/>
      <c r="AU216" s="183"/>
      <c r="AV216" s="183"/>
      <c r="AW216" s="183"/>
      <c r="AX216" s="158"/>
      <c r="AY216" s="158"/>
      <c r="AZ216" s="158"/>
      <c r="BA216" s="188"/>
    </row>
    <row r="217" spans="1:53" ht="104.25" customHeight="1" x14ac:dyDescent="0.25">
      <c r="A217" s="190"/>
      <c r="B217" s="191"/>
      <c r="C217" s="193"/>
      <c r="D217" s="122" t="s">
        <v>319</v>
      </c>
      <c r="E217" s="122" t="s">
        <v>34</v>
      </c>
      <c r="F217" s="122">
        <v>1.2150000000000001</v>
      </c>
      <c r="G217" s="31" t="s">
        <v>320</v>
      </c>
      <c r="H217" s="118">
        <v>291</v>
      </c>
      <c r="I217" s="118">
        <f t="shared" si="53"/>
        <v>353.565</v>
      </c>
      <c r="J217" s="118" t="s">
        <v>55</v>
      </c>
      <c r="K217" s="33">
        <v>1.05</v>
      </c>
      <c r="L217" s="118">
        <f>I217*K217</f>
        <v>371.24324999999999</v>
      </c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58"/>
      <c r="AR217" s="183"/>
      <c r="AS217" s="185"/>
      <c r="AT217" s="158"/>
      <c r="AU217" s="183"/>
      <c r="AV217" s="183"/>
      <c r="AW217" s="183"/>
      <c r="AX217" s="158"/>
      <c r="AY217" s="158"/>
      <c r="AZ217" s="158"/>
      <c r="BA217" s="188"/>
    </row>
    <row r="218" spans="1:53" ht="90.75" customHeight="1" x14ac:dyDescent="0.25">
      <c r="A218" s="190"/>
      <c r="B218" s="191"/>
      <c r="C218" s="193"/>
      <c r="D218" s="122" t="s">
        <v>355</v>
      </c>
      <c r="E218" s="122" t="s">
        <v>34</v>
      </c>
      <c r="F218" s="122">
        <v>0.67200000000000004</v>
      </c>
      <c r="G218" s="31" t="s">
        <v>354</v>
      </c>
      <c r="H218" s="118">
        <v>235</v>
      </c>
      <c r="I218" s="118">
        <f>F218*H218</f>
        <v>157.92000000000002</v>
      </c>
      <c r="J218" s="118" t="s">
        <v>55</v>
      </c>
      <c r="K218" s="33">
        <v>1.05</v>
      </c>
      <c r="L218" s="118">
        <f>I218*K218</f>
        <v>165.81600000000003</v>
      </c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58"/>
      <c r="AR218" s="183"/>
      <c r="AS218" s="185"/>
      <c r="AT218" s="158"/>
      <c r="AU218" s="183"/>
      <c r="AV218" s="183"/>
      <c r="AW218" s="183"/>
      <c r="AX218" s="158"/>
      <c r="AY218" s="158"/>
      <c r="AZ218" s="158"/>
      <c r="BA218" s="188"/>
    </row>
    <row r="219" spans="1:53" ht="90.75" customHeight="1" x14ac:dyDescent="0.25">
      <c r="A219" s="190"/>
      <c r="B219" s="191"/>
      <c r="C219" s="193"/>
      <c r="D219" s="122" t="s">
        <v>353</v>
      </c>
      <c r="E219" s="122" t="s">
        <v>34</v>
      </c>
      <c r="F219" s="122">
        <v>0.86</v>
      </c>
      <c r="G219" s="31" t="s">
        <v>352</v>
      </c>
      <c r="H219" s="118">
        <v>120</v>
      </c>
      <c r="I219" s="118">
        <f>F219*H219</f>
        <v>103.2</v>
      </c>
      <c r="J219" s="118" t="s">
        <v>55</v>
      </c>
      <c r="K219" s="33">
        <v>1.05</v>
      </c>
      <c r="L219" s="118">
        <f>I219*K219</f>
        <v>108.36000000000001</v>
      </c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58"/>
      <c r="AR219" s="183"/>
      <c r="AS219" s="185"/>
      <c r="AT219" s="158"/>
      <c r="AU219" s="183"/>
      <c r="AV219" s="183"/>
      <c r="AW219" s="183"/>
      <c r="AX219" s="158"/>
      <c r="AY219" s="158"/>
      <c r="AZ219" s="158"/>
      <c r="BA219" s="188"/>
    </row>
    <row r="220" spans="1:53" ht="84.75" customHeight="1" x14ac:dyDescent="0.25">
      <c r="A220" s="190"/>
      <c r="B220" s="191"/>
      <c r="C220" s="193"/>
      <c r="D220" s="122" t="s">
        <v>48</v>
      </c>
      <c r="E220" s="122" t="s">
        <v>49</v>
      </c>
      <c r="F220" s="122">
        <v>0.17</v>
      </c>
      <c r="G220" s="31" t="s">
        <v>51</v>
      </c>
      <c r="H220" s="118">
        <v>187</v>
      </c>
      <c r="I220" s="118">
        <f t="shared" ref="I220:I221" si="57">F220*H220</f>
        <v>31.790000000000003</v>
      </c>
      <c r="J220" s="118" t="s">
        <v>36</v>
      </c>
      <c r="K220" s="33" t="s">
        <v>36</v>
      </c>
      <c r="L220" s="118">
        <f>I220</f>
        <v>31.790000000000003</v>
      </c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58"/>
      <c r="AR220" s="183"/>
      <c r="AS220" s="185"/>
      <c r="AT220" s="158"/>
      <c r="AU220" s="183"/>
      <c r="AV220" s="183"/>
      <c r="AW220" s="183"/>
      <c r="AX220" s="158"/>
      <c r="AY220" s="158"/>
      <c r="AZ220" s="158"/>
      <c r="BA220" s="188"/>
    </row>
    <row r="221" spans="1:53" ht="37.5" customHeight="1" x14ac:dyDescent="0.25">
      <c r="A221" s="169"/>
      <c r="B221" s="167"/>
      <c r="C221" s="194"/>
      <c r="D221" s="122" t="s">
        <v>265</v>
      </c>
      <c r="E221" s="122" t="s">
        <v>207</v>
      </c>
      <c r="F221" s="122">
        <v>1</v>
      </c>
      <c r="G221" s="31" t="s">
        <v>266</v>
      </c>
      <c r="H221" s="118">
        <v>561</v>
      </c>
      <c r="I221" s="118">
        <f t="shared" si="57"/>
        <v>561</v>
      </c>
      <c r="J221" s="118" t="s">
        <v>36</v>
      </c>
      <c r="K221" s="118" t="s">
        <v>36</v>
      </c>
      <c r="L221" s="118">
        <f>I221</f>
        <v>561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4"/>
      <c r="AR221" s="152"/>
      <c r="AS221" s="186"/>
      <c r="AT221" s="154"/>
      <c r="AU221" s="152"/>
      <c r="AV221" s="152"/>
      <c r="AW221" s="152"/>
      <c r="AX221" s="154"/>
      <c r="AY221" s="154"/>
      <c r="AZ221" s="154"/>
      <c r="BA221" s="189"/>
    </row>
    <row r="222" spans="1:53" ht="90" x14ac:dyDescent="0.25">
      <c r="A222" s="168">
        <v>53</v>
      </c>
      <c r="B222" s="166" t="s">
        <v>324</v>
      </c>
      <c r="C222" s="192">
        <v>0.4</v>
      </c>
      <c r="D222" s="122" t="s">
        <v>307</v>
      </c>
      <c r="E222" s="122" t="s">
        <v>34</v>
      </c>
      <c r="F222" s="122">
        <v>3.359</v>
      </c>
      <c r="G222" s="31" t="s">
        <v>308</v>
      </c>
      <c r="H222" s="118">
        <v>517</v>
      </c>
      <c r="I222" s="118">
        <f t="shared" si="50"/>
        <v>1736.6030000000001</v>
      </c>
      <c r="J222" s="118" t="s">
        <v>55</v>
      </c>
      <c r="K222" s="33">
        <v>1.05</v>
      </c>
      <c r="L222" s="118">
        <f t="shared" ref="L222:L227" si="58">I222*K222</f>
        <v>1823.4331500000001</v>
      </c>
      <c r="M222" s="153" t="s">
        <v>175</v>
      </c>
      <c r="N222" s="153" t="s">
        <v>175</v>
      </c>
      <c r="O222" s="153" t="s">
        <v>175</v>
      </c>
      <c r="P222" s="153" t="s">
        <v>175</v>
      </c>
      <c r="Q222" s="153" t="s">
        <v>175</v>
      </c>
      <c r="R222" s="153" t="s">
        <v>175</v>
      </c>
      <c r="S222" s="153" t="s">
        <v>175</v>
      </c>
      <c r="T222" s="153" t="s">
        <v>175</v>
      </c>
      <c r="U222" s="153" t="s">
        <v>175</v>
      </c>
      <c r="V222" s="153" t="s">
        <v>175</v>
      </c>
      <c r="W222" s="153" t="s">
        <v>175</v>
      </c>
      <c r="X222" s="153" t="s">
        <v>175</v>
      </c>
      <c r="Y222" s="153" t="s">
        <v>175</v>
      </c>
      <c r="Z222" s="153" t="s">
        <v>175</v>
      </c>
      <c r="AA222" s="153" t="s">
        <v>175</v>
      </c>
      <c r="AB222" s="153" t="s">
        <v>175</v>
      </c>
      <c r="AC222" s="153" t="s">
        <v>175</v>
      </c>
      <c r="AD222" s="153">
        <f>SUM(L222:L229)*1.2</f>
        <v>53868.984000000004</v>
      </c>
      <c r="AE222" s="153">
        <f>AD222*AG222*AH222*AI222*AJ222</f>
        <v>72589.393491311814</v>
      </c>
      <c r="AF222" s="153">
        <f>AM222+AN222+AO222+AP222+AQ222+AR222</f>
        <v>76872.167707299202</v>
      </c>
      <c r="AG222" s="151">
        <v>1.0680000000000001</v>
      </c>
      <c r="AH222" s="151">
        <v>1.056</v>
      </c>
      <c r="AI222" s="151">
        <v>1.0489999999999999</v>
      </c>
      <c r="AJ222" s="151">
        <v>1.139</v>
      </c>
      <c r="AK222" s="151">
        <v>1.0589999999999999</v>
      </c>
      <c r="AL222" s="151">
        <v>1.0529999999999999</v>
      </c>
      <c r="AM222" s="151">
        <v>0</v>
      </c>
      <c r="AN222" s="151">
        <v>0</v>
      </c>
      <c r="AO222" s="151">
        <v>0</v>
      </c>
      <c r="AP222" s="151">
        <v>0</v>
      </c>
      <c r="AQ222" s="153">
        <f>AD222*AG222*AH222*AI222*AJ222*AK222</f>
        <v>76872.167707299202</v>
      </c>
      <c r="AR222" s="151">
        <v>0</v>
      </c>
      <c r="AS222" s="184">
        <v>3275.0484000000001</v>
      </c>
      <c r="AT222" s="153">
        <v>4377.0550259030397</v>
      </c>
      <c r="AU222" s="151">
        <v>1.0740000000000001</v>
      </c>
      <c r="AV222" s="151">
        <v>1.0369999999999999</v>
      </c>
      <c r="AW222" s="151">
        <v>1.0389999999999999</v>
      </c>
      <c r="AX222" s="153">
        <v>0</v>
      </c>
      <c r="AY222" s="153">
        <v>4377.0550259030397</v>
      </c>
      <c r="AZ222" s="153">
        <v>0</v>
      </c>
      <c r="BA222" s="187" t="e">
        <f>#REF!-#REF!</f>
        <v>#REF!</v>
      </c>
    </row>
    <row r="223" spans="1:53" ht="104.25" customHeight="1" x14ac:dyDescent="0.25">
      <c r="A223" s="190"/>
      <c r="B223" s="191"/>
      <c r="C223" s="193"/>
      <c r="D223" s="122" t="s">
        <v>317</v>
      </c>
      <c r="E223" s="122" t="s">
        <v>45</v>
      </c>
      <c r="F223" s="122">
        <v>56.7</v>
      </c>
      <c r="G223" s="31" t="s">
        <v>318</v>
      </c>
      <c r="H223" s="118">
        <v>699</v>
      </c>
      <c r="I223" s="118">
        <f t="shared" si="50"/>
        <v>39633.300000000003</v>
      </c>
      <c r="J223" s="118" t="s">
        <v>55</v>
      </c>
      <c r="K223" s="33">
        <v>1.05</v>
      </c>
      <c r="L223" s="118">
        <f t="shared" si="58"/>
        <v>41614.965000000004</v>
      </c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58"/>
      <c r="AR223" s="183"/>
      <c r="AS223" s="185"/>
      <c r="AT223" s="158"/>
      <c r="AU223" s="183"/>
      <c r="AV223" s="183"/>
      <c r="AW223" s="183"/>
      <c r="AX223" s="158"/>
      <c r="AY223" s="158"/>
      <c r="AZ223" s="158"/>
      <c r="BA223" s="188"/>
    </row>
    <row r="224" spans="1:53" ht="104.25" customHeight="1" x14ac:dyDescent="0.25">
      <c r="A224" s="190"/>
      <c r="B224" s="191"/>
      <c r="C224" s="193"/>
      <c r="D224" s="122" t="s">
        <v>325</v>
      </c>
      <c r="E224" s="122" t="s">
        <v>34</v>
      </c>
      <c r="F224" s="122">
        <v>0.24299999999999999</v>
      </c>
      <c r="G224" s="31" t="s">
        <v>326</v>
      </c>
      <c r="H224" s="118">
        <v>407</v>
      </c>
      <c r="I224" s="118">
        <f t="shared" si="50"/>
        <v>98.900999999999996</v>
      </c>
      <c r="J224" s="118" t="s">
        <v>55</v>
      </c>
      <c r="K224" s="33">
        <v>1.05</v>
      </c>
      <c r="L224" s="118">
        <f t="shared" si="58"/>
        <v>103.84605000000001</v>
      </c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58"/>
      <c r="AR224" s="183"/>
      <c r="AS224" s="185"/>
      <c r="AT224" s="158"/>
      <c r="AU224" s="183"/>
      <c r="AV224" s="183"/>
      <c r="AW224" s="183"/>
      <c r="AX224" s="158"/>
      <c r="AY224" s="158"/>
      <c r="AZ224" s="158"/>
      <c r="BA224" s="188"/>
    </row>
    <row r="225" spans="1:53" ht="90.75" customHeight="1" x14ac:dyDescent="0.25">
      <c r="A225" s="190"/>
      <c r="B225" s="191"/>
      <c r="C225" s="193"/>
      <c r="D225" s="122" t="s">
        <v>319</v>
      </c>
      <c r="E225" s="122" t="s">
        <v>34</v>
      </c>
      <c r="F225" s="122">
        <v>1.8360000000000001</v>
      </c>
      <c r="G225" s="31" t="s">
        <v>320</v>
      </c>
      <c r="H225" s="118">
        <v>291</v>
      </c>
      <c r="I225" s="118">
        <f>F225*H225</f>
        <v>534.27600000000007</v>
      </c>
      <c r="J225" s="118" t="s">
        <v>55</v>
      </c>
      <c r="K225" s="33">
        <v>1.05</v>
      </c>
      <c r="L225" s="118">
        <f t="shared" si="58"/>
        <v>560.98980000000006</v>
      </c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58"/>
      <c r="AR225" s="183"/>
      <c r="AS225" s="185"/>
      <c r="AT225" s="158"/>
      <c r="AU225" s="183"/>
      <c r="AV225" s="183"/>
      <c r="AW225" s="183"/>
      <c r="AX225" s="158"/>
      <c r="AY225" s="158"/>
      <c r="AZ225" s="158"/>
      <c r="BA225" s="188"/>
    </row>
    <row r="226" spans="1:53" ht="90.75" customHeight="1" x14ac:dyDescent="0.25">
      <c r="A226" s="190"/>
      <c r="B226" s="191"/>
      <c r="C226" s="193"/>
      <c r="D226" s="122" t="s">
        <v>353</v>
      </c>
      <c r="E226" s="122" t="s">
        <v>34</v>
      </c>
      <c r="F226" s="122">
        <v>0.72</v>
      </c>
      <c r="G226" s="31" t="s">
        <v>352</v>
      </c>
      <c r="H226" s="118">
        <v>120</v>
      </c>
      <c r="I226" s="118">
        <f>F226*H226</f>
        <v>86.399999999999991</v>
      </c>
      <c r="J226" s="118" t="s">
        <v>55</v>
      </c>
      <c r="K226" s="33">
        <v>1.05</v>
      </c>
      <c r="L226" s="118">
        <f t="shared" si="58"/>
        <v>90.72</v>
      </c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58"/>
      <c r="AR226" s="183"/>
      <c r="AS226" s="185"/>
      <c r="AT226" s="158"/>
      <c r="AU226" s="183"/>
      <c r="AV226" s="183"/>
      <c r="AW226" s="183"/>
      <c r="AX226" s="158"/>
      <c r="AY226" s="158"/>
      <c r="AZ226" s="158"/>
      <c r="BA226" s="188"/>
    </row>
    <row r="227" spans="1:53" ht="90.75" customHeight="1" x14ac:dyDescent="0.25">
      <c r="A227" s="190"/>
      <c r="B227" s="191"/>
      <c r="C227" s="193"/>
      <c r="D227" s="122" t="s">
        <v>350</v>
      </c>
      <c r="E227" s="122" t="s">
        <v>34</v>
      </c>
      <c r="F227" s="122">
        <v>0.56000000000000005</v>
      </c>
      <c r="G227" s="31" t="s">
        <v>351</v>
      </c>
      <c r="H227" s="118">
        <v>177</v>
      </c>
      <c r="I227" s="118">
        <f>F227*H227</f>
        <v>99.12</v>
      </c>
      <c r="J227" s="118" t="s">
        <v>55</v>
      </c>
      <c r="K227" s="33">
        <v>1.05</v>
      </c>
      <c r="L227" s="118">
        <f t="shared" si="58"/>
        <v>104.07600000000001</v>
      </c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58"/>
      <c r="AR227" s="183"/>
      <c r="AS227" s="185"/>
      <c r="AT227" s="158"/>
      <c r="AU227" s="183"/>
      <c r="AV227" s="183"/>
      <c r="AW227" s="183"/>
      <c r="AX227" s="158"/>
      <c r="AY227" s="158"/>
      <c r="AZ227" s="158"/>
      <c r="BA227" s="188"/>
    </row>
    <row r="228" spans="1:53" ht="84.75" customHeight="1" x14ac:dyDescent="0.25">
      <c r="A228" s="190"/>
      <c r="B228" s="191"/>
      <c r="C228" s="193"/>
      <c r="D228" s="122" t="s">
        <v>48</v>
      </c>
      <c r="E228" s="122" t="s">
        <v>49</v>
      </c>
      <c r="F228" s="122">
        <v>0.17</v>
      </c>
      <c r="G228" s="31" t="s">
        <v>51</v>
      </c>
      <c r="H228" s="118">
        <v>187</v>
      </c>
      <c r="I228" s="118">
        <f t="shared" ref="I228:I235" si="59">F228*H228</f>
        <v>31.790000000000003</v>
      </c>
      <c r="J228" s="118" t="s">
        <v>36</v>
      </c>
      <c r="K228" s="33" t="s">
        <v>36</v>
      </c>
      <c r="L228" s="118">
        <f>I228</f>
        <v>31.790000000000003</v>
      </c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58"/>
      <c r="AR228" s="183"/>
      <c r="AS228" s="185"/>
      <c r="AT228" s="158"/>
      <c r="AU228" s="183"/>
      <c r="AV228" s="183"/>
      <c r="AW228" s="183"/>
      <c r="AX228" s="158"/>
      <c r="AY228" s="158"/>
      <c r="AZ228" s="158"/>
      <c r="BA228" s="188"/>
    </row>
    <row r="229" spans="1:53" ht="37.5" customHeight="1" x14ac:dyDescent="0.25">
      <c r="A229" s="169"/>
      <c r="B229" s="167"/>
      <c r="C229" s="194"/>
      <c r="D229" s="122" t="s">
        <v>265</v>
      </c>
      <c r="E229" s="122" t="s">
        <v>207</v>
      </c>
      <c r="F229" s="122">
        <v>1</v>
      </c>
      <c r="G229" s="31" t="s">
        <v>266</v>
      </c>
      <c r="H229" s="118">
        <v>561</v>
      </c>
      <c r="I229" s="118">
        <f t="shared" si="59"/>
        <v>561</v>
      </c>
      <c r="J229" s="118" t="s">
        <v>36</v>
      </c>
      <c r="K229" s="118" t="s">
        <v>36</v>
      </c>
      <c r="L229" s="118">
        <f>I229</f>
        <v>561</v>
      </c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4"/>
      <c r="AR229" s="152"/>
      <c r="AS229" s="186"/>
      <c r="AT229" s="154"/>
      <c r="AU229" s="152"/>
      <c r="AV229" s="152"/>
      <c r="AW229" s="152"/>
      <c r="AX229" s="154"/>
      <c r="AY229" s="154"/>
      <c r="AZ229" s="154"/>
      <c r="BA229" s="189"/>
    </row>
    <row r="230" spans="1:53" s="39" customFormat="1" ht="90" x14ac:dyDescent="0.25">
      <c r="A230" s="180">
        <v>54</v>
      </c>
      <c r="B230" s="171" t="s">
        <v>327</v>
      </c>
      <c r="C230" s="174">
        <v>6</v>
      </c>
      <c r="D230" s="35" t="s">
        <v>330</v>
      </c>
      <c r="E230" s="35" t="s">
        <v>34</v>
      </c>
      <c r="F230" s="35">
        <v>0.1</v>
      </c>
      <c r="G230" s="40" t="s">
        <v>43</v>
      </c>
      <c r="H230" s="36">
        <v>767</v>
      </c>
      <c r="I230" s="36">
        <f t="shared" ref="I230" si="60">F230*H230</f>
        <v>76.7</v>
      </c>
      <c r="J230" s="36" t="s">
        <v>331</v>
      </c>
      <c r="K230" s="37">
        <v>1.56</v>
      </c>
      <c r="L230" s="36">
        <f>I230*K230</f>
        <v>119.65200000000002</v>
      </c>
      <c r="M230" s="155" t="s">
        <v>175</v>
      </c>
      <c r="N230" s="155" t="s">
        <v>175</v>
      </c>
      <c r="O230" s="155" t="s">
        <v>175</v>
      </c>
      <c r="P230" s="153" t="s">
        <v>175</v>
      </c>
      <c r="Q230" s="153" t="s">
        <v>175</v>
      </c>
      <c r="R230" s="155" t="s">
        <v>175</v>
      </c>
      <c r="S230" s="155" t="s">
        <v>175</v>
      </c>
      <c r="T230" s="155" t="s">
        <v>175</v>
      </c>
      <c r="U230" s="155" t="s">
        <v>175</v>
      </c>
      <c r="V230" s="155" t="s">
        <v>175</v>
      </c>
      <c r="W230" s="155" t="s">
        <v>175</v>
      </c>
      <c r="X230" s="155" t="s">
        <v>175</v>
      </c>
      <c r="Y230" s="155" t="s">
        <v>175</v>
      </c>
      <c r="Z230" s="155" t="s">
        <v>175</v>
      </c>
      <c r="AA230" s="155" t="s">
        <v>175</v>
      </c>
      <c r="AB230" s="155" t="s">
        <v>175</v>
      </c>
      <c r="AC230" s="155" t="s">
        <v>175</v>
      </c>
      <c r="AD230" s="155">
        <f>SUM(L230:L234)*1.2</f>
        <v>464.28239999999994</v>
      </c>
      <c r="AE230" s="153">
        <f>AD230*AG230*AH230*AI230*AJ230</f>
        <v>597.61681072207136</v>
      </c>
      <c r="AF230" s="153">
        <f>AM230+AN230+AO230+AP230+AQ230+AR230</f>
        <v>632.87620255467357</v>
      </c>
      <c r="AG230" s="161">
        <v>1.032</v>
      </c>
      <c r="AH230" s="161">
        <v>1.038</v>
      </c>
      <c r="AI230" s="161">
        <v>1.07</v>
      </c>
      <c r="AJ230" s="161">
        <v>1.123</v>
      </c>
      <c r="AK230" s="161">
        <v>1.0589999999999999</v>
      </c>
      <c r="AL230" s="161">
        <v>1.0509999999999999</v>
      </c>
      <c r="AM230" s="161">
        <v>0</v>
      </c>
      <c r="AN230" s="161">
        <v>0</v>
      </c>
      <c r="AO230" s="161">
        <v>0</v>
      </c>
      <c r="AP230" s="161">
        <v>0</v>
      </c>
      <c r="AQ230" s="155">
        <f>AD230*AG230*AH230*AI230*AJ230*AK230</f>
        <v>632.87620255467357</v>
      </c>
      <c r="AR230" s="161">
        <v>0</v>
      </c>
      <c r="AS230" s="174">
        <v>3275.0484000000001</v>
      </c>
      <c r="AT230" s="155">
        <v>4377.0550259030397</v>
      </c>
      <c r="AU230" s="161">
        <v>1.0740000000000001</v>
      </c>
      <c r="AV230" s="161">
        <v>1.0369999999999999</v>
      </c>
      <c r="AW230" s="161">
        <v>1.0389999999999999</v>
      </c>
      <c r="AX230" s="155">
        <v>0</v>
      </c>
      <c r="AY230" s="155">
        <v>4377.0550259030397</v>
      </c>
      <c r="AZ230" s="155">
        <v>0</v>
      </c>
      <c r="BA230" s="177" t="e">
        <f>#REF!-#REF!</f>
        <v>#REF!</v>
      </c>
    </row>
    <row r="231" spans="1:53" s="39" customFormat="1" ht="104.25" customHeight="1" x14ac:dyDescent="0.25">
      <c r="A231" s="181"/>
      <c r="B231" s="172"/>
      <c r="C231" s="175"/>
      <c r="D231" s="35" t="s">
        <v>44</v>
      </c>
      <c r="E231" s="35" t="s">
        <v>45</v>
      </c>
      <c r="F231" s="35">
        <v>4.5</v>
      </c>
      <c r="G231" s="40" t="s">
        <v>46</v>
      </c>
      <c r="H231" s="36">
        <v>17</v>
      </c>
      <c r="I231" s="36">
        <f>F231*H231</f>
        <v>76.5</v>
      </c>
      <c r="J231" s="36" t="s">
        <v>55</v>
      </c>
      <c r="K231" s="37">
        <v>1.05</v>
      </c>
      <c r="L231" s="36">
        <f>I231*K231</f>
        <v>80.325000000000003</v>
      </c>
      <c r="M231" s="156"/>
      <c r="N231" s="156"/>
      <c r="O231" s="156"/>
      <c r="P231" s="158"/>
      <c r="Q231" s="158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8"/>
      <c r="AF231" s="158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56"/>
      <c r="AR231" s="162"/>
      <c r="AS231" s="175"/>
      <c r="AT231" s="156"/>
      <c r="AU231" s="162"/>
      <c r="AV231" s="162"/>
      <c r="AW231" s="162"/>
      <c r="AX231" s="156"/>
      <c r="AY231" s="156"/>
      <c r="AZ231" s="156"/>
      <c r="BA231" s="178"/>
    </row>
    <row r="232" spans="1:53" s="39" customFormat="1" ht="104.25" customHeight="1" x14ac:dyDescent="0.25">
      <c r="A232" s="181"/>
      <c r="B232" s="172"/>
      <c r="C232" s="175"/>
      <c r="D232" s="35" t="s">
        <v>57</v>
      </c>
      <c r="E232" s="35" t="s">
        <v>34</v>
      </c>
      <c r="F232" s="35">
        <v>0.3</v>
      </c>
      <c r="G232" s="40" t="s">
        <v>329</v>
      </c>
      <c r="H232" s="36">
        <v>413</v>
      </c>
      <c r="I232" s="36">
        <f t="shared" ref="I232" si="61">F232*H232</f>
        <v>123.89999999999999</v>
      </c>
      <c r="J232" s="36" t="s">
        <v>55</v>
      </c>
      <c r="K232" s="37">
        <v>1.05</v>
      </c>
      <c r="L232" s="36">
        <f>I232*K232</f>
        <v>130.095</v>
      </c>
      <c r="M232" s="156"/>
      <c r="N232" s="156"/>
      <c r="O232" s="156"/>
      <c r="P232" s="158"/>
      <c r="Q232" s="158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8"/>
      <c r="AF232" s="158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56"/>
      <c r="AR232" s="162"/>
      <c r="AS232" s="175"/>
      <c r="AT232" s="156"/>
      <c r="AU232" s="162"/>
      <c r="AV232" s="162"/>
      <c r="AW232" s="162"/>
      <c r="AX232" s="156"/>
      <c r="AY232" s="156"/>
      <c r="AZ232" s="156"/>
      <c r="BA232" s="178"/>
    </row>
    <row r="233" spans="1:53" s="39" customFormat="1" ht="90.75" customHeight="1" x14ac:dyDescent="0.25">
      <c r="A233" s="181"/>
      <c r="B233" s="172"/>
      <c r="C233" s="175"/>
      <c r="D233" s="35" t="s">
        <v>48</v>
      </c>
      <c r="E233" s="35" t="s">
        <v>49</v>
      </c>
      <c r="F233" s="35">
        <v>0.09</v>
      </c>
      <c r="G233" s="40" t="s">
        <v>51</v>
      </c>
      <c r="H233" s="36">
        <v>187</v>
      </c>
      <c r="I233" s="36">
        <f>F233*H233</f>
        <v>16.829999999999998</v>
      </c>
      <c r="J233" s="36" t="s">
        <v>36</v>
      </c>
      <c r="K233" s="37" t="s">
        <v>36</v>
      </c>
      <c r="L233" s="36">
        <f>I233</f>
        <v>16.829999999999998</v>
      </c>
      <c r="M233" s="156"/>
      <c r="N233" s="156"/>
      <c r="O233" s="156"/>
      <c r="P233" s="158"/>
      <c r="Q233" s="158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8"/>
      <c r="AF233" s="158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56"/>
      <c r="AR233" s="162"/>
      <c r="AS233" s="175"/>
      <c r="AT233" s="156"/>
      <c r="AU233" s="162"/>
      <c r="AV233" s="162"/>
      <c r="AW233" s="162"/>
      <c r="AX233" s="156"/>
      <c r="AY233" s="156"/>
      <c r="AZ233" s="156"/>
      <c r="BA233" s="178"/>
    </row>
    <row r="234" spans="1:53" s="39" customFormat="1" ht="37.5" customHeight="1" x14ac:dyDescent="0.25">
      <c r="A234" s="182"/>
      <c r="B234" s="173"/>
      <c r="C234" s="176"/>
      <c r="D234" s="35" t="s">
        <v>306</v>
      </c>
      <c r="E234" s="35" t="s">
        <v>41</v>
      </c>
      <c r="F234" s="35">
        <v>1</v>
      </c>
      <c r="G234" s="40" t="s">
        <v>328</v>
      </c>
      <c r="H234" s="36">
        <v>40</v>
      </c>
      <c r="I234" s="36">
        <f t="shared" ref="I234" si="62">F234*H234</f>
        <v>40</v>
      </c>
      <c r="J234" s="36" t="s">
        <v>36</v>
      </c>
      <c r="K234" s="36" t="s">
        <v>36</v>
      </c>
      <c r="L234" s="36">
        <f>I234</f>
        <v>40</v>
      </c>
      <c r="M234" s="157"/>
      <c r="N234" s="157"/>
      <c r="O234" s="157"/>
      <c r="P234" s="154"/>
      <c r="Q234" s="154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4"/>
      <c r="AF234" s="154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57"/>
      <c r="AR234" s="163"/>
      <c r="AS234" s="176"/>
      <c r="AT234" s="157"/>
      <c r="AU234" s="163"/>
      <c r="AV234" s="163"/>
      <c r="AW234" s="163"/>
      <c r="AX234" s="157"/>
      <c r="AY234" s="157"/>
      <c r="AZ234" s="157"/>
      <c r="BA234" s="179"/>
    </row>
    <row r="235" spans="1:53" s="39" customFormat="1" ht="90" x14ac:dyDescent="0.25">
      <c r="A235" s="180">
        <v>55</v>
      </c>
      <c r="B235" s="171" t="s">
        <v>333</v>
      </c>
      <c r="C235" s="174">
        <v>10</v>
      </c>
      <c r="D235" s="35" t="s">
        <v>335</v>
      </c>
      <c r="E235" s="35" t="s">
        <v>34</v>
      </c>
      <c r="F235" s="35">
        <v>2.7810000000000001</v>
      </c>
      <c r="G235" s="40" t="s">
        <v>43</v>
      </c>
      <c r="H235" s="36">
        <v>1151</v>
      </c>
      <c r="I235" s="36">
        <f t="shared" si="59"/>
        <v>3200.931</v>
      </c>
      <c r="J235" s="36" t="s">
        <v>331</v>
      </c>
      <c r="K235" s="37">
        <v>1.56</v>
      </c>
      <c r="L235" s="36">
        <f>I235*K235</f>
        <v>4993.4523600000002</v>
      </c>
      <c r="M235" s="155" t="s">
        <v>175</v>
      </c>
      <c r="N235" s="155" t="s">
        <v>175</v>
      </c>
      <c r="O235" s="155" t="s">
        <v>175</v>
      </c>
      <c r="P235" s="153" t="s">
        <v>175</v>
      </c>
      <c r="Q235" s="153" t="s">
        <v>175</v>
      </c>
      <c r="R235" s="155" t="s">
        <v>175</v>
      </c>
      <c r="S235" s="155" t="s">
        <v>175</v>
      </c>
      <c r="T235" s="155" t="s">
        <v>175</v>
      </c>
      <c r="U235" s="155" t="s">
        <v>175</v>
      </c>
      <c r="V235" s="155" t="s">
        <v>175</v>
      </c>
      <c r="W235" s="155" t="s">
        <v>175</v>
      </c>
      <c r="X235" s="155" t="s">
        <v>175</v>
      </c>
      <c r="Y235" s="155" t="s">
        <v>175</v>
      </c>
      <c r="Z235" s="155" t="s">
        <v>175</v>
      </c>
      <c r="AA235" s="155" t="s">
        <v>175</v>
      </c>
      <c r="AB235" s="155" t="s">
        <v>175</v>
      </c>
      <c r="AC235" s="155" t="s">
        <v>175</v>
      </c>
      <c r="AD235" s="155">
        <f>SUM(L235:L241)*1.2</f>
        <v>19447.727255999998</v>
      </c>
      <c r="AE235" s="153">
        <f>AD235*AG235*AH235*AI235*AJ235</f>
        <v>25032.800594042379</v>
      </c>
      <c r="AF235" s="153">
        <f>AM235+AN235+AO235+AP235+AQ235+AR235</f>
        <v>26509.735829090878</v>
      </c>
      <c r="AG235" s="161">
        <v>1.032</v>
      </c>
      <c r="AH235" s="161">
        <v>1.038</v>
      </c>
      <c r="AI235" s="161">
        <v>1.07</v>
      </c>
      <c r="AJ235" s="161">
        <v>1.123</v>
      </c>
      <c r="AK235" s="161">
        <v>1.0589999999999999</v>
      </c>
      <c r="AL235" s="161">
        <v>1.0509999999999999</v>
      </c>
      <c r="AM235" s="161">
        <v>0</v>
      </c>
      <c r="AN235" s="161">
        <v>0</v>
      </c>
      <c r="AO235" s="161">
        <v>0</v>
      </c>
      <c r="AP235" s="161">
        <v>0</v>
      </c>
      <c r="AQ235" s="155">
        <f>AD235*AG235*AH235*AI235*AJ235*AK235</f>
        <v>26509.735829090878</v>
      </c>
      <c r="AR235" s="161">
        <v>0</v>
      </c>
      <c r="AS235" s="174">
        <v>3275.0484000000001</v>
      </c>
      <c r="AT235" s="155">
        <v>4377.0550259030397</v>
      </c>
      <c r="AU235" s="161">
        <v>1.0740000000000001</v>
      </c>
      <c r="AV235" s="161">
        <v>1.0369999999999999</v>
      </c>
      <c r="AW235" s="161">
        <v>1.0389999999999999</v>
      </c>
      <c r="AX235" s="155">
        <v>0</v>
      </c>
      <c r="AY235" s="155">
        <v>4377.0550259030397</v>
      </c>
      <c r="AZ235" s="155">
        <v>0</v>
      </c>
      <c r="BA235" s="177" t="e">
        <f>#REF!-#REF!</f>
        <v>#REF!</v>
      </c>
    </row>
    <row r="236" spans="1:53" s="39" customFormat="1" ht="104.25" customHeight="1" x14ac:dyDescent="0.25">
      <c r="A236" s="181"/>
      <c r="B236" s="172"/>
      <c r="C236" s="175"/>
      <c r="D236" s="35" t="s">
        <v>339</v>
      </c>
      <c r="E236" s="35" t="s">
        <v>34</v>
      </c>
      <c r="F236" s="35">
        <v>2.7810000000000001</v>
      </c>
      <c r="G236" s="40" t="s">
        <v>340</v>
      </c>
      <c r="H236" s="36">
        <v>784</v>
      </c>
      <c r="I236" s="36">
        <f>F236*H236</f>
        <v>2180.3040000000001</v>
      </c>
      <c r="J236" s="36" t="s">
        <v>55</v>
      </c>
      <c r="K236" s="37">
        <v>1.05</v>
      </c>
      <c r="L236" s="36">
        <f>I236*K236</f>
        <v>2289.3192000000004</v>
      </c>
      <c r="M236" s="156"/>
      <c r="N236" s="156"/>
      <c r="O236" s="156"/>
      <c r="P236" s="158"/>
      <c r="Q236" s="158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8"/>
      <c r="AF236" s="158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56"/>
      <c r="AR236" s="162"/>
      <c r="AS236" s="175"/>
      <c r="AT236" s="156"/>
      <c r="AU236" s="162"/>
      <c r="AV236" s="162"/>
      <c r="AW236" s="162"/>
      <c r="AX236" s="156"/>
      <c r="AY236" s="156"/>
      <c r="AZ236" s="156"/>
      <c r="BA236" s="178"/>
    </row>
    <row r="237" spans="1:53" s="39" customFormat="1" ht="104.25" customHeight="1" x14ac:dyDescent="0.25">
      <c r="A237" s="181"/>
      <c r="B237" s="172"/>
      <c r="C237" s="175"/>
      <c r="D237" s="35" t="s">
        <v>44</v>
      </c>
      <c r="E237" s="35" t="s">
        <v>45</v>
      </c>
      <c r="F237" s="35">
        <v>120.6</v>
      </c>
      <c r="G237" s="40" t="s">
        <v>334</v>
      </c>
      <c r="H237" s="36">
        <v>17</v>
      </c>
      <c r="I237" s="36">
        <f>F237*H237</f>
        <v>2050.1999999999998</v>
      </c>
      <c r="J237" s="36" t="s">
        <v>55</v>
      </c>
      <c r="K237" s="37">
        <v>1.05</v>
      </c>
      <c r="L237" s="36">
        <f>I237*K237</f>
        <v>2152.71</v>
      </c>
      <c r="M237" s="156"/>
      <c r="N237" s="156"/>
      <c r="O237" s="156"/>
      <c r="P237" s="158"/>
      <c r="Q237" s="158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8"/>
      <c r="AF237" s="158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56"/>
      <c r="AR237" s="162"/>
      <c r="AS237" s="175"/>
      <c r="AT237" s="156"/>
      <c r="AU237" s="162"/>
      <c r="AV237" s="162"/>
      <c r="AW237" s="162"/>
      <c r="AX237" s="156"/>
      <c r="AY237" s="156"/>
      <c r="AZ237" s="156"/>
      <c r="BA237" s="178"/>
    </row>
    <row r="238" spans="1:53" s="39" customFormat="1" ht="104.25" customHeight="1" x14ac:dyDescent="0.25">
      <c r="A238" s="181"/>
      <c r="B238" s="172"/>
      <c r="C238" s="175"/>
      <c r="D238" s="35" t="s">
        <v>269</v>
      </c>
      <c r="E238" s="35" t="s">
        <v>34</v>
      </c>
      <c r="F238" s="35">
        <v>5.5620000000000003</v>
      </c>
      <c r="G238" s="40" t="s">
        <v>336</v>
      </c>
      <c r="H238" s="36">
        <v>431</v>
      </c>
      <c r="I238" s="36">
        <f t="shared" ref="I238" si="63">F238*H238</f>
        <v>2397.2220000000002</v>
      </c>
      <c r="J238" s="36" t="s">
        <v>55</v>
      </c>
      <c r="K238" s="37">
        <v>1.05</v>
      </c>
      <c r="L238" s="36">
        <f>I238*K238</f>
        <v>2517.0831000000003</v>
      </c>
      <c r="M238" s="156"/>
      <c r="N238" s="156"/>
      <c r="O238" s="156"/>
      <c r="P238" s="158"/>
      <c r="Q238" s="158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8"/>
      <c r="AF238" s="158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56"/>
      <c r="AR238" s="162"/>
      <c r="AS238" s="175"/>
      <c r="AT238" s="156"/>
      <c r="AU238" s="162"/>
      <c r="AV238" s="162"/>
      <c r="AW238" s="162"/>
      <c r="AX238" s="156"/>
      <c r="AY238" s="156"/>
      <c r="AZ238" s="156"/>
      <c r="BA238" s="178"/>
    </row>
    <row r="239" spans="1:53" s="39" customFormat="1" ht="104.25" customHeight="1" x14ac:dyDescent="0.25">
      <c r="A239" s="181"/>
      <c r="B239" s="172"/>
      <c r="C239" s="175"/>
      <c r="D239" s="35" t="s">
        <v>287</v>
      </c>
      <c r="E239" s="35" t="s">
        <v>34</v>
      </c>
      <c r="F239" s="35">
        <v>1.079</v>
      </c>
      <c r="G239" s="40" t="s">
        <v>337</v>
      </c>
      <c r="H239" s="36">
        <v>2214</v>
      </c>
      <c r="I239" s="36">
        <f t="shared" ref="I239:I241" si="64">F239*H239</f>
        <v>2388.9059999999999</v>
      </c>
      <c r="J239" s="36" t="s">
        <v>144</v>
      </c>
      <c r="K239" s="37">
        <v>1.1200000000000001</v>
      </c>
      <c r="L239" s="36">
        <f>I239*K239</f>
        <v>2675.5747200000001</v>
      </c>
      <c r="M239" s="156"/>
      <c r="N239" s="156"/>
      <c r="O239" s="156"/>
      <c r="P239" s="158"/>
      <c r="Q239" s="158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8"/>
      <c r="AF239" s="158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56"/>
      <c r="AR239" s="162"/>
      <c r="AS239" s="175"/>
      <c r="AT239" s="156"/>
      <c r="AU239" s="162"/>
      <c r="AV239" s="162"/>
      <c r="AW239" s="162"/>
      <c r="AX239" s="156"/>
      <c r="AY239" s="156"/>
      <c r="AZ239" s="156"/>
      <c r="BA239" s="178"/>
    </row>
    <row r="240" spans="1:53" s="39" customFormat="1" ht="90.75" customHeight="1" x14ac:dyDescent="0.25">
      <c r="A240" s="181"/>
      <c r="B240" s="172"/>
      <c r="C240" s="175"/>
      <c r="D240" s="35" t="s">
        <v>124</v>
      </c>
      <c r="E240" s="35" t="s">
        <v>49</v>
      </c>
      <c r="F240" s="35">
        <v>0.3</v>
      </c>
      <c r="G240" s="40" t="s">
        <v>338</v>
      </c>
      <c r="H240" s="36">
        <v>261</v>
      </c>
      <c r="I240" s="36">
        <f>F240*H240</f>
        <v>78.3</v>
      </c>
      <c r="J240" s="36" t="s">
        <v>36</v>
      </c>
      <c r="K240" s="37" t="s">
        <v>36</v>
      </c>
      <c r="L240" s="36">
        <f>I240</f>
        <v>78.3</v>
      </c>
      <c r="M240" s="156"/>
      <c r="N240" s="156"/>
      <c r="O240" s="156"/>
      <c r="P240" s="158"/>
      <c r="Q240" s="158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8"/>
      <c r="AF240" s="158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56"/>
      <c r="AR240" s="162"/>
      <c r="AS240" s="175"/>
      <c r="AT240" s="156"/>
      <c r="AU240" s="162"/>
      <c r="AV240" s="162"/>
      <c r="AW240" s="162"/>
      <c r="AX240" s="156"/>
      <c r="AY240" s="156"/>
      <c r="AZ240" s="156"/>
      <c r="BA240" s="178"/>
    </row>
    <row r="241" spans="1:55" s="39" customFormat="1" ht="37.5" customHeight="1" x14ac:dyDescent="0.25">
      <c r="A241" s="182"/>
      <c r="B241" s="173"/>
      <c r="C241" s="176"/>
      <c r="D241" s="35" t="s">
        <v>68</v>
      </c>
      <c r="E241" s="35" t="s">
        <v>41</v>
      </c>
      <c r="F241" s="35">
        <v>1</v>
      </c>
      <c r="G241" s="40" t="s">
        <v>328</v>
      </c>
      <c r="H241" s="36">
        <v>1500</v>
      </c>
      <c r="I241" s="36">
        <f t="shared" si="64"/>
        <v>1500</v>
      </c>
      <c r="J241" s="36" t="s">
        <v>36</v>
      </c>
      <c r="K241" s="36" t="s">
        <v>36</v>
      </c>
      <c r="L241" s="36">
        <f>I241</f>
        <v>1500</v>
      </c>
      <c r="M241" s="157"/>
      <c r="N241" s="157"/>
      <c r="O241" s="157"/>
      <c r="P241" s="154"/>
      <c r="Q241" s="154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4"/>
      <c r="AF241" s="154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57"/>
      <c r="AR241" s="163"/>
      <c r="AS241" s="176"/>
      <c r="AT241" s="157"/>
      <c r="AU241" s="163"/>
      <c r="AV241" s="163"/>
      <c r="AW241" s="163"/>
      <c r="AX241" s="157"/>
      <c r="AY241" s="157"/>
      <c r="AZ241" s="157"/>
      <c r="BA241" s="179"/>
    </row>
    <row r="242" spans="1:55" s="102" customFormat="1" ht="95.25" customHeight="1" x14ac:dyDescent="0.25">
      <c r="A242" s="170">
        <v>56</v>
      </c>
      <c r="B242" s="171" t="s">
        <v>342</v>
      </c>
      <c r="C242" s="174">
        <v>6</v>
      </c>
      <c r="D242" s="116" t="s">
        <v>330</v>
      </c>
      <c r="E242" s="116" t="s">
        <v>34</v>
      </c>
      <c r="F242" s="116">
        <v>10.021000000000001</v>
      </c>
      <c r="G242" s="40" t="s">
        <v>43</v>
      </c>
      <c r="H242" s="114">
        <v>767</v>
      </c>
      <c r="I242" s="114">
        <v>7686.1070000000009</v>
      </c>
      <c r="J242" s="114" t="s">
        <v>55</v>
      </c>
      <c r="K242" s="37">
        <v>1.05</v>
      </c>
      <c r="L242" s="114">
        <f>H242*K242</f>
        <v>805.35</v>
      </c>
      <c r="M242" s="155" t="s">
        <v>175</v>
      </c>
      <c r="N242" s="155" t="s">
        <v>175</v>
      </c>
      <c r="O242" s="155" t="s">
        <v>175</v>
      </c>
      <c r="P242" s="155" t="s">
        <v>175</v>
      </c>
      <c r="Q242" s="155" t="s">
        <v>175</v>
      </c>
      <c r="R242" s="155" t="s">
        <v>175</v>
      </c>
      <c r="S242" s="155" t="s">
        <v>175</v>
      </c>
      <c r="T242" s="155" t="s">
        <v>175</v>
      </c>
      <c r="U242" s="155" t="s">
        <v>175</v>
      </c>
      <c r="V242" s="155" t="s">
        <v>175</v>
      </c>
      <c r="W242" s="155" t="s">
        <v>175</v>
      </c>
      <c r="X242" s="155" t="s">
        <v>175</v>
      </c>
      <c r="Y242" s="155" t="s">
        <v>175</v>
      </c>
      <c r="Z242" s="155" t="s">
        <v>175</v>
      </c>
      <c r="AA242" s="155" t="s">
        <v>175</v>
      </c>
      <c r="AB242" s="155" t="s">
        <v>175</v>
      </c>
      <c r="AC242" s="155" t="s">
        <v>175</v>
      </c>
      <c r="AD242" s="155">
        <v>43770.59706</v>
      </c>
      <c r="AE242" s="153">
        <f>AF242</f>
        <v>51398.038573079299</v>
      </c>
      <c r="AF242" s="153">
        <f>AP242</f>
        <v>51398.038573079299</v>
      </c>
      <c r="AG242" s="101"/>
      <c r="AH242" s="101"/>
      <c r="AI242" s="101"/>
      <c r="AJ242" s="101"/>
      <c r="AK242" s="101"/>
      <c r="AL242" s="101"/>
      <c r="AM242" s="159"/>
      <c r="AN242" s="159"/>
      <c r="AO242" s="160"/>
      <c r="AP242" s="155">
        <v>51398.038573079299</v>
      </c>
      <c r="AQ242" s="159"/>
      <c r="AR242" s="159"/>
    </row>
    <row r="243" spans="1:55" s="102" customFormat="1" ht="95.25" customHeight="1" x14ac:dyDescent="0.25">
      <c r="A243" s="170"/>
      <c r="B243" s="172"/>
      <c r="C243" s="175"/>
      <c r="D243" s="116" t="s">
        <v>343</v>
      </c>
      <c r="E243" s="116" t="s">
        <v>45</v>
      </c>
      <c r="F243" s="116">
        <v>367.13</v>
      </c>
      <c r="G243" s="40" t="s">
        <v>43</v>
      </c>
      <c r="H243" s="114">
        <v>18</v>
      </c>
      <c r="I243" s="114">
        <v>6608.34</v>
      </c>
      <c r="J243" s="114" t="s">
        <v>55</v>
      </c>
      <c r="K243" s="37">
        <v>1.05</v>
      </c>
      <c r="L243" s="114">
        <f t="shared" ref="L243:L247" si="65">H243*K243</f>
        <v>18.900000000000002</v>
      </c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8"/>
      <c r="AF243" s="158"/>
      <c r="AG243" s="103"/>
      <c r="AH243" s="103"/>
      <c r="AI243" s="103"/>
      <c r="AJ243" s="103"/>
      <c r="AK243" s="103"/>
      <c r="AL243" s="103"/>
      <c r="AM243" s="159"/>
      <c r="AN243" s="159"/>
      <c r="AO243" s="160"/>
      <c r="AP243" s="156"/>
      <c r="AQ243" s="159"/>
      <c r="AR243" s="159"/>
    </row>
    <row r="244" spans="1:55" s="102" customFormat="1" ht="104.25" customHeight="1" x14ac:dyDescent="0.25">
      <c r="A244" s="170"/>
      <c r="B244" s="172"/>
      <c r="C244" s="175"/>
      <c r="D244" s="116" t="s">
        <v>42</v>
      </c>
      <c r="E244" s="116" t="s">
        <v>34</v>
      </c>
      <c r="F244" s="116">
        <v>10.021000000000001</v>
      </c>
      <c r="G244" s="40" t="s">
        <v>43</v>
      </c>
      <c r="H244" s="114">
        <v>699</v>
      </c>
      <c r="I244" s="114">
        <v>7004.679000000001</v>
      </c>
      <c r="J244" s="114" t="s">
        <v>55</v>
      </c>
      <c r="K244" s="37">
        <v>1.05</v>
      </c>
      <c r="L244" s="114">
        <f t="shared" si="65"/>
        <v>733.95</v>
      </c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8"/>
      <c r="AF244" s="158"/>
      <c r="AG244" s="103"/>
      <c r="AH244" s="103"/>
      <c r="AI244" s="103"/>
      <c r="AJ244" s="103"/>
      <c r="AK244" s="103"/>
      <c r="AL244" s="103"/>
      <c r="AM244" s="159"/>
      <c r="AN244" s="159"/>
      <c r="AO244" s="160"/>
      <c r="AP244" s="156"/>
      <c r="AQ244" s="159"/>
      <c r="AR244" s="159"/>
    </row>
    <row r="245" spans="1:55" s="102" customFormat="1" ht="104.25" customHeight="1" x14ac:dyDescent="0.25">
      <c r="A245" s="170"/>
      <c r="B245" s="172"/>
      <c r="C245" s="175"/>
      <c r="D245" s="116" t="s">
        <v>44</v>
      </c>
      <c r="E245" s="116" t="s">
        <v>45</v>
      </c>
      <c r="F245" s="116">
        <v>367.13</v>
      </c>
      <c r="G245" s="40" t="s">
        <v>46</v>
      </c>
      <c r="H245" s="114">
        <v>17</v>
      </c>
      <c r="I245" s="114">
        <v>6241.21</v>
      </c>
      <c r="J245" s="114" t="s">
        <v>55</v>
      </c>
      <c r="K245" s="37">
        <v>1.05</v>
      </c>
      <c r="L245" s="114">
        <f t="shared" si="65"/>
        <v>17.850000000000001</v>
      </c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8"/>
      <c r="AF245" s="158"/>
      <c r="AG245" s="103">
        <v>1.032</v>
      </c>
      <c r="AH245" s="103">
        <v>1.038</v>
      </c>
      <c r="AI245" s="103">
        <v>1.07</v>
      </c>
      <c r="AJ245" s="103">
        <v>1.123</v>
      </c>
      <c r="AK245" s="103">
        <v>1.0589999999999999</v>
      </c>
      <c r="AL245" s="103">
        <v>1.0509999999999999</v>
      </c>
      <c r="AM245" s="159"/>
      <c r="AN245" s="159"/>
      <c r="AO245" s="160"/>
      <c r="AP245" s="156"/>
      <c r="AQ245" s="159"/>
      <c r="AR245" s="159"/>
    </row>
    <row r="246" spans="1:55" s="102" customFormat="1" ht="90.75" customHeight="1" x14ac:dyDescent="0.25">
      <c r="A246" s="170"/>
      <c r="B246" s="172"/>
      <c r="C246" s="175"/>
      <c r="D246" s="116" t="s">
        <v>344</v>
      </c>
      <c r="E246" s="116" t="s">
        <v>34</v>
      </c>
      <c r="F246" s="116">
        <v>4.9619999999999997</v>
      </c>
      <c r="G246" s="40" t="s">
        <v>50</v>
      </c>
      <c r="H246" s="114">
        <v>464</v>
      </c>
      <c r="I246" s="114">
        <v>2302.3679999999999</v>
      </c>
      <c r="J246" s="114" t="s">
        <v>55</v>
      </c>
      <c r="K246" s="37">
        <v>1.05</v>
      </c>
      <c r="L246" s="114">
        <f t="shared" si="65"/>
        <v>487.20000000000005</v>
      </c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8"/>
      <c r="AF246" s="158"/>
      <c r="AG246" s="103"/>
      <c r="AH246" s="103"/>
      <c r="AI246" s="103"/>
      <c r="AJ246" s="103"/>
      <c r="AK246" s="103"/>
      <c r="AL246" s="103"/>
      <c r="AM246" s="159"/>
      <c r="AN246" s="159"/>
      <c r="AO246" s="160"/>
      <c r="AP246" s="156"/>
      <c r="AQ246" s="159"/>
      <c r="AR246" s="159"/>
    </row>
    <row r="247" spans="1:55" s="102" customFormat="1" ht="90.75" customHeight="1" x14ac:dyDescent="0.25">
      <c r="A247" s="170"/>
      <c r="B247" s="172"/>
      <c r="C247" s="175"/>
      <c r="D247" s="116" t="s">
        <v>345</v>
      </c>
      <c r="E247" s="116" t="s">
        <v>34</v>
      </c>
      <c r="F247" s="116">
        <v>5.2999999999999999E-2</v>
      </c>
      <c r="G247" s="40" t="s">
        <v>346</v>
      </c>
      <c r="H247" s="114">
        <v>2136</v>
      </c>
      <c r="I247" s="114">
        <v>113.208</v>
      </c>
      <c r="J247" s="114" t="s">
        <v>272</v>
      </c>
      <c r="K247" s="37">
        <v>1.1200000000000001</v>
      </c>
      <c r="L247" s="114">
        <f t="shared" si="65"/>
        <v>2392.3200000000002</v>
      </c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8"/>
      <c r="AF247" s="158"/>
      <c r="AG247" s="103"/>
      <c r="AH247" s="103"/>
      <c r="AI247" s="103"/>
      <c r="AJ247" s="103"/>
      <c r="AK247" s="103"/>
      <c r="AL247" s="103"/>
      <c r="AM247" s="159"/>
      <c r="AN247" s="159"/>
      <c r="AO247" s="160"/>
      <c r="AP247" s="156"/>
      <c r="AQ247" s="159"/>
      <c r="AR247" s="159"/>
    </row>
    <row r="248" spans="1:55" s="102" customFormat="1" ht="84.75" customHeight="1" x14ac:dyDescent="0.25">
      <c r="A248" s="170"/>
      <c r="B248" s="172"/>
      <c r="C248" s="175"/>
      <c r="D248" s="116" t="s">
        <v>48</v>
      </c>
      <c r="E248" s="116" t="s">
        <v>49</v>
      </c>
      <c r="F248" s="116">
        <v>1</v>
      </c>
      <c r="G248" s="40" t="s">
        <v>51</v>
      </c>
      <c r="H248" s="114">
        <v>187</v>
      </c>
      <c r="I248" s="114">
        <v>187</v>
      </c>
      <c r="J248" s="114" t="s">
        <v>36</v>
      </c>
      <c r="K248" s="37" t="s">
        <v>36</v>
      </c>
      <c r="L248" s="114">
        <f>H248</f>
        <v>187</v>
      </c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8"/>
      <c r="AF248" s="158"/>
      <c r="AG248" s="103"/>
      <c r="AH248" s="103"/>
      <c r="AI248" s="103"/>
      <c r="AJ248" s="103"/>
      <c r="AK248" s="103"/>
      <c r="AL248" s="103"/>
      <c r="AM248" s="159"/>
      <c r="AN248" s="159"/>
      <c r="AO248" s="160"/>
      <c r="AP248" s="156"/>
      <c r="AQ248" s="159"/>
      <c r="AR248" s="159"/>
    </row>
    <row r="249" spans="1:55" s="102" customFormat="1" ht="37.5" customHeight="1" x14ac:dyDescent="0.25">
      <c r="A249" s="170"/>
      <c r="B249" s="173"/>
      <c r="C249" s="176"/>
      <c r="D249" s="115" t="s">
        <v>105</v>
      </c>
      <c r="E249" s="115" t="s">
        <v>41</v>
      </c>
      <c r="F249" s="115">
        <v>1</v>
      </c>
      <c r="G249" s="31" t="s">
        <v>178</v>
      </c>
      <c r="H249" s="113">
        <v>3000</v>
      </c>
      <c r="I249" s="113">
        <v>3000</v>
      </c>
      <c r="J249" s="113" t="s">
        <v>36</v>
      </c>
      <c r="K249" s="113" t="s">
        <v>36</v>
      </c>
      <c r="L249" s="114">
        <f>H249</f>
        <v>3000</v>
      </c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4"/>
      <c r="AF249" s="154"/>
      <c r="AG249" s="104"/>
      <c r="AH249" s="104"/>
      <c r="AI249" s="104"/>
      <c r="AJ249" s="104"/>
      <c r="AK249" s="104"/>
      <c r="AL249" s="104"/>
      <c r="AM249" s="159"/>
      <c r="AN249" s="159"/>
      <c r="AO249" s="160"/>
      <c r="AP249" s="157"/>
      <c r="AQ249" s="159"/>
      <c r="AR249" s="159"/>
    </row>
    <row r="250" spans="1:55" ht="15.75" x14ac:dyDescent="0.25">
      <c r="A250" s="214" t="s">
        <v>8</v>
      </c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6"/>
      <c r="M250" s="105">
        <f t="shared" ref="M250:BC250" si="66">SUM(M9:M249)</f>
        <v>1541276.2884200001</v>
      </c>
      <c r="N250" s="105">
        <f t="shared" si="66"/>
        <v>308255.25768400001</v>
      </c>
      <c r="O250" s="105">
        <f t="shared" si="66"/>
        <v>1849531.1405040002</v>
      </c>
      <c r="P250" s="105">
        <f t="shared" si="66"/>
        <v>2140487.3960556993</v>
      </c>
      <c r="Q250" s="105">
        <f t="shared" si="66"/>
        <v>2282530.5263436511</v>
      </c>
      <c r="R250" s="105">
        <f t="shared" si="66"/>
        <v>42.3</v>
      </c>
      <c r="S250" s="105">
        <f t="shared" si="66"/>
        <v>41.98599999999999</v>
      </c>
      <c r="T250" s="105">
        <f t="shared" si="66"/>
        <v>42.094000000000001</v>
      </c>
      <c r="U250" s="105">
        <f t="shared" si="66"/>
        <v>41.943999999999974</v>
      </c>
      <c r="V250" s="105">
        <f t="shared" si="66"/>
        <v>41.875999999999998</v>
      </c>
      <c r="W250" s="105">
        <f t="shared" si="66"/>
        <v>41.807999999999979</v>
      </c>
      <c r="X250" s="105">
        <f t="shared" si="66"/>
        <v>12803.961599999999</v>
      </c>
      <c r="Y250" s="105">
        <f t="shared" si="66"/>
        <v>374177.76659583527</v>
      </c>
      <c r="Z250" s="105">
        <f t="shared" si="66"/>
        <v>426552.06458196888</v>
      </c>
      <c r="AA250" s="105">
        <f t="shared" si="66"/>
        <v>253465.50134977695</v>
      </c>
      <c r="AB250" s="105">
        <f t="shared" si="66"/>
        <v>769343.06331476988</v>
      </c>
      <c r="AC250" s="105">
        <f t="shared" si="66"/>
        <v>446164.73805074045</v>
      </c>
      <c r="AD250" s="105">
        <f t="shared" si="66"/>
        <v>1740145.6723400005</v>
      </c>
      <c r="AE250" s="105">
        <f t="shared" si="66"/>
        <v>2151383.4392811609</v>
      </c>
      <c r="AF250" s="105">
        <f t="shared" si="66"/>
        <v>2246974.2561166305</v>
      </c>
      <c r="AG250" s="105">
        <f t="shared" si="66"/>
        <v>52.715999999999966</v>
      </c>
      <c r="AH250" s="105">
        <f t="shared" si="66"/>
        <v>52.457999999999956</v>
      </c>
      <c r="AI250" s="105">
        <f t="shared" si="66"/>
        <v>52.846600000000002</v>
      </c>
      <c r="AJ250" s="105">
        <f t="shared" si="66"/>
        <v>56.646000000000008</v>
      </c>
      <c r="AK250" s="105">
        <f t="shared" si="66"/>
        <v>52.94999999999996</v>
      </c>
      <c r="AL250" s="105">
        <f t="shared" si="66"/>
        <v>52.611999999999981</v>
      </c>
      <c r="AM250" s="105">
        <f t="shared" si="66"/>
        <v>12803.961599999999</v>
      </c>
      <c r="AN250" s="105">
        <f t="shared" si="66"/>
        <v>374001.24801811227</v>
      </c>
      <c r="AO250" s="105">
        <f t="shared" si="66"/>
        <v>431927.84155593679</v>
      </c>
      <c r="AP250" s="105">
        <f t="shared" si="66"/>
        <v>331154.0810955934</v>
      </c>
      <c r="AQ250" s="105">
        <f t="shared" si="66"/>
        <v>617563.61591954692</v>
      </c>
      <c r="AR250" s="105">
        <f t="shared" si="66"/>
        <v>479523.50792744075</v>
      </c>
      <c r="AS250" s="105">
        <f t="shared" si="66"/>
        <v>726940.2907239995</v>
      </c>
      <c r="AT250" s="105">
        <f t="shared" si="66"/>
        <v>809891.00497138512</v>
      </c>
      <c r="AU250" s="105">
        <f t="shared" si="66"/>
        <v>42.96</v>
      </c>
      <c r="AV250" s="105">
        <f t="shared" si="66"/>
        <v>41.479999999999968</v>
      </c>
      <c r="AW250" s="105">
        <f t="shared" si="66"/>
        <v>41.560000000000031</v>
      </c>
      <c r="AX250" s="105">
        <f t="shared" si="66"/>
        <v>12815.827200000002</v>
      </c>
      <c r="AY250" s="105">
        <f t="shared" si="66"/>
        <v>469431.39844255667</v>
      </c>
      <c r="AZ250" s="105">
        <f t="shared" si="66"/>
        <v>413734.96731579612</v>
      </c>
      <c r="BA250" s="105" t="e">
        <f t="shared" si="66"/>
        <v>#REF!</v>
      </c>
      <c r="BB250" s="105">
        <f t="shared" si="66"/>
        <v>620070.54952435184</v>
      </c>
      <c r="BC250" s="105">
        <f t="shared" si="66"/>
        <v>0</v>
      </c>
    </row>
    <row r="251" spans="1:55" x14ac:dyDescent="0.25">
      <c r="B251" s="106"/>
      <c r="N251" s="107"/>
      <c r="O251" s="108"/>
      <c r="AE251" s="109"/>
      <c r="AF251" s="109"/>
    </row>
    <row r="252" spans="1:55" x14ac:dyDescent="0.25">
      <c r="Q252" s="112"/>
    </row>
    <row r="253" spans="1:55" ht="13.5" customHeight="1" x14ac:dyDescent="0.25">
      <c r="AZ253" s="108" t="s">
        <v>255</v>
      </c>
    </row>
  </sheetData>
  <mergeCells count="1825">
    <mergeCell ref="BA222:BA229"/>
    <mergeCell ref="A91:A92"/>
    <mergeCell ref="B91:B92"/>
    <mergeCell ref="C91:C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AY222:AY229"/>
    <mergeCell ref="AZ222:AZ229"/>
    <mergeCell ref="AK196:AK197"/>
    <mergeCell ref="AJ196:AJ197"/>
    <mergeCell ref="AI196:AI197"/>
    <mergeCell ref="AH196:AH197"/>
    <mergeCell ref="AG196:AG197"/>
    <mergeCell ref="AG222:AG229"/>
    <mergeCell ref="AH222:AH229"/>
    <mergeCell ref="AI222:AI229"/>
    <mergeCell ref="AY198:AY201"/>
    <mergeCell ref="AZ198:AZ201"/>
    <mergeCell ref="AJ198:AJ201"/>
    <mergeCell ref="AK198:AK201"/>
    <mergeCell ref="AL198:AL201"/>
    <mergeCell ref="AM198:AM201"/>
    <mergeCell ref="AN198:AN201"/>
    <mergeCell ref="AO198:AO201"/>
    <mergeCell ref="AP198:AP201"/>
    <mergeCell ref="AQ198:AQ201"/>
    <mergeCell ref="AR198:AR201"/>
    <mergeCell ref="AS198:AS201"/>
    <mergeCell ref="AJ222:AJ229"/>
    <mergeCell ref="AK222:AK229"/>
    <mergeCell ref="AL222:AL229"/>
    <mergeCell ref="AM222:AM229"/>
    <mergeCell ref="AN222:AN229"/>
    <mergeCell ref="AN196:AN197"/>
    <mergeCell ref="AM196:AM197"/>
    <mergeCell ref="AP202:AP207"/>
    <mergeCell ref="AQ202:AQ207"/>
    <mergeCell ref="AR202:AR207"/>
    <mergeCell ref="AA222:AA229"/>
    <mergeCell ref="AB222:AB229"/>
    <mergeCell ref="AC222:AC229"/>
    <mergeCell ref="AD222:AD229"/>
    <mergeCell ref="AE222:AE229"/>
    <mergeCell ref="AF222:AF229"/>
    <mergeCell ref="AC198:AC201"/>
    <mergeCell ref="AD198:AD201"/>
    <mergeCell ref="AE198:AE201"/>
    <mergeCell ref="AF198:AF201"/>
    <mergeCell ref="A202:A207"/>
    <mergeCell ref="B202:B207"/>
    <mergeCell ref="C202:C207"/>
    <mergeCell ref="M202:M207"/>
    <mergeCell ref="AO222:AO229"/>
    <mergeCell ref="AP222:AP229"/>
    <mergeCell ref="AQ222:AQ229"/>
    <mergeCell ref="A222:A229"/>
    <mergeCell ref="B222:B229"/>
    <mergeCell ref="C222:C229"/>
    <mergeCell ref="M222:M229"/>
    <mergeCell ref="N222:N229"/>
    <mergeCell ref="O222:O229"/>
    <mergeCell ref="P222:P229"/>
    <mergeCell ref="Q222:Q229"/>
    <mergeCell ref="R222:R229"/>
    <mergeCell ref="S222:S229"/>
    <mergeCell ref="T222:T229"/>
    <mergeCell ref="U222:U229"/>
    <mergeCell ref="V222:V229"/>
    <mergeCell ref="W222:W229"/>
    <mergeCell ref="X222:X229"/>
    <mergeCell ref="Y222:Y229"/>
    <mergeCell ref="Z222:Z229"/>
    <mergeCell ref="Z198:Z201"/>
    <mergeCell ref="AA198:AA201"/>
    <mergeCell ref="AB198:AB201"/>
    <mergeCell ref="BA198:BA201"/>
    <mergeCell ref="M196:M197"/>
    <mergeCell ref="C196:C197"/>
    <mergeCell ref="B196:B197"/>
    <mergeCell ref="A196:A197"/>
    <mergeCell ref="AE196:AE197"/>
    <mergeCell ref="AD196:AD197"/>
    <mergeCell ref="AC196:AC197"/>
    <mergeCell ref="AB196:AB197"/>
    <mergeCell ref="AA196:AA197"/>
    <mergeCell ref="Z196:Z197"/>
    <mergeCell ref="Y196:Y197"/>
    <mergeCell ref="X196:X197"/>
    <mergeCell ref="W196:W197"/>
    <mergeCell ref="V196:V197"/>
    <mergeCell ref="U196:U197"/>
    <mergeCell ref="T196:T197"/>
    <mergeCell ref="S196:S197"/>
    <mergeCell ref="R196:R197"/>
    <mergeCell ref="Q196:Q197"/>
    <mergeCell ref="P196:P197"/>
    <mergeCell ref="O196:O197"/>
    <mergeCell ref="N196:N197"/>
    <mergeCell ref="AR196:AR197"/>
    <mergeCell ref="AQ196:AQ197"/>
    <mergeCell ref="AP196:AP197"/>
    <mergeCell ref="AO196:AO197"/>
    <mergeCell ref="AP192:AP194"/>
    <mergeCell ref="AQ192:AQ194"/>
    <mergeCell ref="AR192:AR194"/>
    <mergeCell ref="AT198:AT201"/>
    <mergeCell ref="AU198:AU201"/>
    <mergeCell ref="AV198:AV201"/>
    <mergeCell ref="AW198:AW201"/>
    <mergeCell ref="AX198:AX201"/>
    <mergeCell ref="AT192:AT194"/>
    <mergeCell ref="AU192:AU194"/>
    <mergeCell ref="AV192:AV194"/>
    <mergeCell ref="AW192:AW194"/>
    <mergeCell ref="AX192:AX194"/>
    <mergeCell ref="AY192:AY194"/>
    <mergeCell ref="AZ192:AZ194"/>
    <mergeCell ref="BA192:BA194"/>
    <mergeCell ref="A198:A201"/>
    <mergeCell ref="B198:B201"/>
    <mergeCell ref="C198:C201"/>
    <mergeCell ref="M198:M201"/>
    <mergeCell ref="N198:N201"/>
    <mergeCell ref="O198:O201"/>
    <mergeCell ref="P198:P201"/>
    <mergeCell ref="Q198:Q201"/>
    <mergeCell ref="R198:R201"/>
    <mergeCell ref="S198:S201"/>
    <mergeCell ref="T198:T201"/>
    <mergeCell ref="U198:U201"/>
    <mergeCell ref="V198:V201"/>
    <mergeCell ref="W198:W201"/>
    <mergeCell ref="X198:X201"/>
    <mergeCell ref="Y198:Y201"/>
    <mergeCell ref="AA188:AA190"/>
    <mergeCell ref="AB188:AB190"/>
    <mergeCell ref="AC188:AC190"/>
    <mergeCell ref="AD188:AD190"/>
    <mergeCell ref="AE188:AE190"/>
    <mergeCell ref="AS192:AS194"/>
    <mergeCell ref="A192:A194"/>
    <mergeCell ref="B192:B194"/>
    <mergeCell ref="C192:C194"/>
    <mergeCell ref="M192:M194"/>
    <mergeCell ref="N192:N194"/>
    <mergeCell ref="O192:O194"/>
    <mergeCell ref="P192:P194"/>
    <mergeCell ref="Q192:Q194"/>
    <mergeCell ref="R192:R194"/>
    <mergeCell ref="S192:S194"/>
    <mergeCell ref="T192:T194"/>
    <mergeCell ref="U192:U194"/>
    <mergeCell ref="V192:V194"/>
    <mergeCell ref="W192:W194"/>
    <mergeCell ref="X192:X194"/>
    <mergeCell ref="Y192:Y194"/>
    <mergeCell ref="Z192:Z194"/>
    <mergeCell ref="AA192:AA194"/>
    <mergeCell ref="AB192:AB194"/>
    <mergeCell ref="AC192:AC194"/>
    <mergeCell ref="AD192:AD194"/>
    <mergeCell ref="AE192:AE194"/>
    <mergeCell ref="AF192:AF194"/>
    <mergeCell ref="AG192:AG194"/>
    <mergeCell ref="AH192:AH194"/>
    <mergeCell ref="AI192:AI194"/>
    <mergeCell ref="A188:A190"/>
    <mergeCell ref="B188:B190"/>
    <mergeCell ref="C188:C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U188:U190"/>
    <mergeCell ref="V188:V190"/>
    <mergeCell ref="W188:W190"/>
    <mergeCell ref="X188:X190"/>
    <mergeCell ref="Y188:Y190"/>
    <mergeCell ref="Z188:Z190"/>
    <mergeCell ref="AR179:AR184"/>
    <mergeCell ref="AS179:AS184"/>
    <mergeCell ref="AT179:AT184"/>
    <mergeCell ref="AU179:AU184"/>
    <mergeCell ref="AV179:AV184"/>
    <mergeCell ref="AW179:AW184"/>
    <mergeCell ref="AX179:AX184"/>
    <mergeCell ref="AY179:AY184"/>
    <mergeCell ref="AZ179:AZ184"/>
    <mergeCell ref="BA179:BA184"/>
    <mergeCell ref="AF188:AF190"/>
    <mergeCell ref="AG188:AG190"/>
    <mergeCell ref="AH188:AH190"/>
    <mergeCell ref="AI188:AI190"/>
    <mergeCell ref="AJ188:AJ190"/>
    <mergeCell ref="AK188:AK190"/>
    <mergeCell ref="AL188:AL190"/>
    <mergeCell ref="AM188:AM190"/>
    <mergeCell ref="AN188:AN190"/>
    <mergeCell ref="AO188:AO190"/>
    <mergeCell ref="AP188:AP190"/>
    <mergeCell ref="AQ188:AQ190"/>
    <mergeCell ref="AR188:AR190"/>
    <mergeCell ref="AS188:AS190"/>
    <mergeCell ref="AT188:AT190"/>
    <mergeCell ref="AU188:AU190"/>
    <mergeCell ref="AV188:AV190"/>
    <mergeCell ref="AW188:AW190"/>
    <mergeCell ref="AX188:AX190"/>
    <mergeCell ref="AY188:AY190"/>
    <mergeCell ref="AZ188:AZ190"/>
    <mergeCell ref="BA188:BA190"/>
    <mergeCell ref="AN179:AN184"/>
    <mergeCell ref="AO179:AO184"/>
    <mergeCell ref="AE202:AE207"/>
    <mergeCell ref="AF202:AF207"/>
    <mergeCell ref="AG202:AG207"/>
    <mergeCell ref="AH202:AH207"/>
    <mergeCell ref="AI202:AI207"/>
    <mergeCell ref="AJ202:AJ207"/>
    <mergeCell ref="AK202:AK207"/>
    <mergeCell ref="AL202:AL207"/>
    <mergeCell ref="AM202:AM207"/>
    <mergeCell ref="AN202:AN207"/>
    <mergeCell ref="AO202:AO207"/>
    <mergeCell ref="AD215:AD221"/>
    <mergeCell ref="AE215:AE221"/>
    <mergeCell ref="AF215:AF221"/>
    <mergeCell ref="AG215:AG221"/>
    <mergeCell ref="AG198:AG201"/>
    <mergeCell ref="AJ192:AJ194"/>
    <mergeCell ref="AK192:AK194"/>
    <mergeCell ref="AL192:AL194"/>
    <mergeCell ref="AM192:AM194"/>
    <mergeCell ref="AN192:AN194"/>
    <mergeCell ref="AO192:AO194"/>
    <mergeCell ref="AL196:AL197"/>
    <mergeCell ref="AH198:AH201"/>
    <mergeCell ref="AI198:AI201"/>
    <mergeCell ref="AF196:AF197"/>
    <mergeCell ref="AH215:AH221"/>
    <mergeCell ref="AI215:AI221"/>
    <mergeCell ref="AJ215:AJ221"/>
    <mergeCell ref="AK215:AK221"/>
    <mergeCell ref="AP179:AP184"/>
    <mergeCell ref="AQ179:AQ184"/>
    <mergeCell ref="A179:A184"/>
    <mergeCell ref="B179:B184"/>
    <mergeCell ref="C179:C184"/>
    <mergeCell ref="M179:M184"/>
    <mergeCell ref="N179:N184"/>
    <mergeCell ref="O179:O184"/>
    <mergeCell ref="P179:P184"/>
    <mergeCell ref="Q179:Q184"/>
    <mergeCell ref="R179:R184"/>
    <mergeCell ref="S179:S184"/>
    <mergeCell ref="T179:T184"/>
    <mergeCell ref="U179:U184"/>
    <mergeCell ref="V179:V184"/>
    <mergeCell ref="W179:W184"/>
    <mergeCell ref="X179:X184"/>
    <mergeCell ref="Y179:Y184"/>
    <mergeCell ref="Z179:Z184"/>
    <mergeCell ref="AA179:AA184"/>
    <mergeCell ref="AB179:AB184"/>
    <mergeCell ref="AC179:AC184"/>
    <mergeCell ref="AD179:AD184"/>
    <mergeCell ref="AE179:AE184"/>
    <mergeCell ref="AF179:AF184"/>
    <mergeCell ref="AG179:AG184"/>
    <mergeCell ref="AH179:AH184"/>
    <mergeCell ref="AI179:AI184"/>
    <mergeCell ref="AJ179:AJ184"/>
    <mergeCell ref="AK179:AK184"/>
    <mergeCell ref="AL179:AL184"/>
    <mergeCell ref="AM179:AM184"/>
    <mergeCell ref="AQ173:AQ178"/>
    <mergeCell ref="AR173:AR178"/>
    <mergeCell ref="AS173:AS178"/>
    <mergeCell ref="AT173:AT178"/>
    <mergeCell ref="AU173:AU178"/>
    <mergeCell ref="AV173:AV178"/>
    <mergeCell ref="AW173:AW178"/>
    <mergeCell ref="AX173:AX178"/>
    <mergeCell ref="AY173:AY178"/>
    <mergeCell ref="AZ173:AZ178"/>
    <mergeCell ref="BA173:BA178"/>
    <mergeCell ref="AW167:AW172"/>
    <mergeCell ref="AX167:AX172"/>
    <mergeCell ref="AY167:AY172"/>
    <mergeCell ref="AZ167:AZ172"/>
    <mergeCell ref="BA167:BA172"/>
    <mergeCell ref="AM167:AM172"/>
    <mergeCell ref="AN167:AN172"/>
    <mergeCell ref="AO167:AO172"/>
    <mergeCell ref="AP167:AP172"/>
    <mergeCell ref="AQ167:AQ172"/>
    <mergeCell ref="AR167:AR172"/>
    <mergeCell ref="AS167:AS172"/>
    <mergeCell ref="AT167:AT172"/>
    <mergeCell ref="AU167:AU172"/>
    <mergeCell ref="AV167:AV172"/>
    <mergeCell ref="AM173:AM178"/>
    <mergeCell ref="AN173:AN178"/>
    <mergeCell ref="AO173:AO178"/>
    <mergeCell ref="AP173:AP178"/>
    <mergeCell ref="A173:A178"/>
    <mergeCell ref="B173:B178"/>
    <mergeCell ref="C173:C178"/>
    <mergeCell ref="M173:M178"/>
    <mergeCell ref="N173:N178"/>
    <mergeCell ref="O173:O178"/>
    <mergeCell ref="P173:P178"/>
    <mergeCell ref="Q173:Q178"/>
    <mergeCell ref="R173:R178"/>
    <mergeCell ref="S173:S178"/>
    <mergeCell ref="T173:T178"/>
    <mergeCell ref="U173:U178"/>
    <mergeCell ref="V173:V178"/>
    <mergeCell ref="W173:W178"/>
    <mergeCell ref="X173:X178"/>
    <mergeCell ref="Y173:Y178"/>
    <mergeCell ref="Z173:Z178"/>
    <mergeCell ref="AA173:AA178"/>
    <mergeCell ref="AB173:AB178"/>
    <mergeCell ref="AC173:AC178"/>
    <mergeCell ref="AD173:AD178"/>
    <mergeCell ref="AG173:AG178"/>
    <mergeCell ref="AH173:AH178"/>
    <mergeCell ref="AI173:AI178"/>
    <mergeCell ref="AJ173:AJ178"/>
    <mergeCell ref="AG167:AG172"/>
    <mergeCell ref="AH167:AH172"/>
    <mergeCell ref="AI167:AI172"/>
    <mergeCell ref="AJ167:AJ172"/>
    <mergeCell ref="AK167:AK172"/>
    <mergeCell ref="AL167:AL172"/>
    <mergeCell ref="AA167:AA172"/>
    <mergeCell ref="AB167:AB172"/>
    <mergeCell ref="AC167:AC172"/>
    <mergeCell ref="AD167:AD172"/>
    <mergeCell ref="AK173:AK178"/>
    <mergeCell ref="AL173:AL178"/>
    <mergeCell ref="AE167:AE172"/>
    <mergeCell ref="AF167:AF172"/>
    <mergeCell ref="AE173:AE178"/>
    <mergeCell ref="AF173:AF178"/>
    <mergeCell ref="A167:A172"/>
    <mergeCell ref="B167:B172"/>
    <mergeCell ref="C167:C172"/>
    <mergeCell ref="M167:M172"/>
    <mergeCell ref="N167:N172"/>
    <mergeCell ref="O167:O172"/>
    <mergeCell ref="P167:P172"/>
    <mergeCell ref="Q167:Q172"/>
    <mergeCell ref="R167:R172"/>
    <mergeCell ref="S167:S172"/>
    <mergeCell ref="T167:T172"/>
    <mergeCell ref="U167:U172"/>
    <mergeCell ref="V167:V172"/>
    <mergeCell ref="W167:W172"/>
    <mergeCell ref="X167:X172"/>
    <mergeCell ref="Y167:Y172"/>
    <mergeCell ref="Z167:Z172"/>
    <mergeCell ref="AY161:AY166"/>
    <mergeCell ref="AZ161:AZ166"/>
    <mergeCell ref="BA161:BA166"/>
    <mergeCell ref="AA161:AA166"/>
    <mergeCell ref="AB161:AB166"/>
    <mergeCell ref="AC161:AC166"/>
    <mergeCell ref="AD161:AD166"/>
    <mergeCell ref="AG161:AG166"/>
    <mergeCell ref="AH161:AH166"/>
    <mergeCell ref="AI161:AI166"/>
    <mergeCell ref="AJ161:AJ166"/>
    <mergeCell ref="AK161:AK166"/>
    <mergeCell ref="AL161:AL166"/>
    <mergeCell ref="AM161:AM166"/>
    <mergeCell ref="AN161:AN166"/>
    <mergeCell ref="AO161:AO166"/>
    <mergeCell ref="AP161:AP166"/>
    <mergeCell ref="AQ161:AQ166"/>
    <mergeCell ref="AE161:AE166"/>
    <mergeCell ref="AF161:AF166"/>
    <mergeCell ref="AW161:AW166"/>
    <mergeCell ref="AV161:AV166"/>
    <mergeCell ref="AX161:AX166"/>
    <mergeCell ref="AB127:AB132"/>
    <mergeCell ref="R145:R150"/>
    <mergeCell ref="S145:S150"/>
    <mergeCell ref="T145:T150"/>
    <mergeCell ref="U145:U150"/>
    <mergeCell ref="V145:V150"/>
    <mergeCell ref="W145:W150"/>
    <mergeCell ref="X145:X150"/>
    <mergeCell ref="A139:A144"/>
    <mergeCell ref="B139:B144"/>
    <mergeCell ref="Y161:Y166"/>
    <mergeCell ref="Z161:Z166"/>
    <mergeCell ref="AR161:AR166"/>
    <mergeCell ref="AS161:AS166"/>
    <mergeCell ref="AT161:AT166"/>
    <mergeCell ref="AU161:AU166"/>
    <mergeCell ref="AV127:AV132"/>
    <mergeCell ref="U127:U132"/>
    <mergeCell ref="T127:T132"/>
    <mergeCell ref="S127:S132"/>
    <mergeCell ref="R127:R132"/>
    <mergeCell ref="AU127:AU132"/>
    <mergeCell ref="W133:W138"/>
    <mergeCell ref="X133:X138"/>
    <mergeCell ref="Y133:Y138"/>
    <mergeCell ref="Z133:Z138"/>
    <mergeCell ref="AA133:AA138"/>
    <mergeCell ref="AB133:AB138"/>
    <mergeCell ref="AC133:AC138"/>
    <mergeCell ref="AN133:AN138"/>
    <mergeCell ref="BA145:BA150"/>
    <mergeCell ref="AO145:AO150"/>
    <mergeCell ref="Z145:Z150"/>
    <mergeCell ref="BA127:BA132"/>
    <mergeCell ref="AZ127:AZ132"/>
    <mergeCell ref="AY127:AY132"/>
    <mergeCell ref="AX127:AX132"/>
    <mergeCell ref="A161:A166"/>
    <mergeCell ref="B161:B166"/>
    <mergeCell ref="C161:C166"/>
    <mergeCell ref="M161:M166"/>
    <mergeCell ref="N161:N166"/>
    <mergeCell ref="O161:O166"/>
    <mergeCell ref="P161:P166"/>
    <mergeCell ref="Q161:Q166"/>
    <mergeCell ref="R161:R166"/>
    <mergeCell ref="S161:S166"/>
    <mergeCell ref="T161:T166"/>
    <mergeCell ref="U161:U166"/>
    <mergeCell ref="V161:V166"/>
    <mergeCell ref="W161:W166"/>
    <mergeCell ref="X161:X166"/>
    <mergeCell ref="A133:A138"/>
    <mergeCell ref="B133:B138"/>
    <mergeCell ref="C133:C138"/>
    <mergeCell ref="M133:M138"/>
    <mergeCell ref="N133:N138"/>
    <mergeCell ref="O133:O138"/>
    <mergeCell ref="P133:P138"/>
    <mergeCell ref="B127:B132"/>
    <mergeCell ref="AC127:AC132"/>
    <mergeCell ref="BA133:BA138"/>
    <mergeCell ref="AZ133:AZ138"/>
    <mergeCell ref="AP145:AP150"/>
    <mergeCell ref="AQ145:AQ150"/>
    <mergeCell ref="AR145:AR150"/>
    <mergeCell ref="AG145:AG150"/>
    <mergeCell ref="AH145:AH150"/>
    <mergeCell ref="AH139:AH144"/>
    <mergeCell ref="AI139:AI144"/>
    <mergeCell ref="AJ139:AJ144"/>
    <mergeCell ref="AK139:AK144"/>
    <mergeCell ref="AL139:AL144"/>
    <mergeCell ref="AM139:AM144"/>
    <mergeCell ref="AN139:AN144"/>
    <mergeCell ref="AO139:AO144"/>
    <mergeCell ref="AP139:AP144"/>
    <mergeCell ref="AQ139:AQ144"/>
    <mergeCell ref="AK133:AK138"/>
    <mergeCell ref="AQ133:AQ138"/>
    <mergeCell ref="AR133:AR138"/>
    <mergeCell ref="AS133:AS138"/>
    <mergeCell ref="AT133:AT138"/>
    <mergeCell ref="AK145:AK150"/>
    <mergeCell ref="AL145:AL150"/>
    <mergeCell ref="AM145:AM150"/>
    <mergeCell ref="AN145:AN150"/>
    <mergeCell ref="AZ139:AZ144"/>
    <mergeCell ref="AZ145:AZ150"/>
    <mergeCell ref="AR139:AR144"/>
    <mergeCell ref="AS139:AS144"/>
    <mergeCell ref="AW145:AW150"/>
    <mergeCell ref="AL133:AL138"/>
    <mergeCell ref="AM133:AM138"/>
    <mergeCell ref="AR122:AR126"/>
    <mergeCell ref="AO117:AO121"/>
    <mergeCell ref="AP117:AP121"/>
    <mergeCell ref="AQ117:AQ121"/>
    <mergeCell ref="M117:M121"/>
    <mergeCell ref="M6:M7"/>
    <mergeCell ref="AN122:AN126"/>
    <mergeCell ref="AA117:AA121"/>
    <mergeCell ref="AB117:AB121"/>
    <mergeCell ref="AC117:AC121"/>
    <mergeCell ref="AD117:AD121"/>
    <mergeCell ref="AG117:AG121"/>
    <mergeCell ref="AH117:AH121"/>
    <mergeCell ref="AI117:AI121"/>
    <mergeCell ref="AJ117:AJ121"/>
    <mergeCell ref="AK117:AK121"/>
    <mergeCell ref="AL117:AL121"/>
    <mergeCell ref="AM117:AM121"/>
    <mergeCell ref="AN117:AN121"/>
    <mergeCell ref="AH122:AH126"/>
    <mergeCell ref="AI122:AI126"/>
    <mergeCell ref="AO91:AO92"/>
    <mergeCell ref="AP91:AP92"/>
    <mergeCell ref="AQ91:AQ92"/>
    <mergeCell ref="AR91:AR92"/>
    <mergeCell ref="AJ45:AJ49"/>
    <mergeCell ref="AK45:AK49"/>
    <mergeCell ref="AL45:AL49"/>
    <mergeCell ref="AL9:AL14"/>
    <mergeCell ref="AD9:AD14"/>
    <mergeCell ref="AO80:AO90"/>
    <mergeCell ref="AP80:AP90"/>
    <mergeCell ref="BA122:BA126"/>
    <mergeCell ref="AR117:AR121"/>
    <mergeCell ref="A122:A126"/>
    <mergeCell ref="B122:B126"/>
    <mergeCell ref="C122:C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W122:W126"/>
    <mergeCell ref="X122:X126"/>
    <mergeCell ref="AA122:AA126"/>
    <mergeCell ref="AB122:AB126"/>
    <mergeCell ref="AC122:AC126"/>
    <mergeCell ref="AD122:AD126"/>
    <mergeCell ref="Y122:Y126"/>
    <mergeCell ref="Z122:Z126"/>
    <mergeCell ref="AG122:AG126"/>
    <mergeCell ref="AL122:AL126"/>
    <mergeCell ref="AM122:AM126"/>
    <mergeCell ref="N117:N121"/>
    <mergeCell ref="O117:O121"/>
    <mergeCell ref="P117:P121"/>
    <mergeCell ref="Q117:Q121"/>
    <mergeCell ref="R117:R121"/>
    <mergeCell ref="S117:S121"/>
    <mergeCell ref="AY38:AY41"/>
    <mergeCell ref="R6:W6"/>
    <mergeCell ref="J5:K6"/>
    <mergeCell ref="AX6:AZ6"/>
    <mergeCell ref="X6:AC6"/>
    <mergeCell ref="C42:C43"/>
    <mergeCell ref="C38:C41"/>
    <mergeCell ref="A2:BA2"/>
    <mergeCell ref="A1:BA1"/>
    <mergeCell ref="P6:P7"/>
    <mergeCell ref="Q6:Q7"/>
    <mergeCell ref="AD6:AD7"/>
    <mergeCell ref="AE6:AE7"/>
    <mergeCell ref="AF6:AF7"/>
    <mergeCell ref="BA5:BA7"/>
    <mergeCell ref="AS5:AZ5"/>
    <mergeCell ref="AS6:AS7"/>
    <mergeCell ref="AT6:AT7"/>
    <mergeCell ref="D5:D7"/>
    <mergeCell ref="E5:E7"/>
    <mergeCell ref="F5:F7"/>
    <mergeCell ref="G5:G7"/>
    <mergeCell ref="H5:H7"/>
    <mergeCell ref="I5:I7"/>
    <mergeCell ref="L5:L7"/>
    <mergeCell ref="N6:N7"/>
    <mergeCell ref="A3:BA3"/>
    <mergeCell ref="AG6:AL6"/>
    <mergeCell ref="AM6:AR6"/>
    <mergeCell ref="M5:AC5"/>
    <mergeCell ref="A5:A7"/>
    <mergeCell ref="AA9:AA14"/>
    <mergeCell ref="AA15:AA20"/>
    <mergeCell ref="AA21:AA26"/>
    <mergeCell ref="AA27:AA37"/>
    <mergeCell ref="AQ15:AQ20"/>
    <mergeCell ref="AR15:AR20"/>
    <mergeCell ref="AI21:AI26"/>
    <mergeCell ref="AQ9:AQ14"/>
    <mergeCell ref="AR9:AR14"/>
    <mergeCell ref="AI9:AI14"/>
    <mergeCell ref="AJ9:AJ14"/>
    <mergeCell ref="AK9:AK14"/>
    <mergeCell ref="O6:O7"/>
    <mergeCell ref="X4:Z4"/>
    <mergeCell ref="AX4:AZ4"/>
    <mergeCell ref="AU6:AW6"/>
    <mergeCell ref="B5:B7"/>
    <mergeCell ref="C5:C7"/>
    <mergeCell ref="AM9:AM14"/>
    <mergeCell ref="AN9:AN14"/>
    <mergeCell ref="AG21:AG26"/>
    <mergeCell ref="AH21:AH26"/>
    <mergeCell ref="AC27:AC37"/>
    <mergeCell ref="AD5:AR5"/>
    <mergeCell ref="R9:R14"/>
    <mergeCell ref="S9:S14"/>
    <mergeCell ref="T9:T14"/>
    <mergeCell ref="AY9:AY14"/>
    <mergeCell ref="C27:C37"/>
    <mergeCell ref="AV27:AV37"/>
    <mergeCell ref="AU27:AU37"/>
    <mergeCell ref="AX27:AX37"/>
    <mergeCell ref="AS69:AS77"/>
    <mergeCell ref="AS42:AS43"/>
    <mergeCell ref="N27:N37"/>
    <mergeCell ref="N15:N20"/>
    <mergeCell ref="AJ15:AJ20"/>
    <mergeCell ref="AK15:AK20"/>
    <mergeCell ref="AL15:AL20"/>
    <mergeCell ref="AM15:AM20"/>
    <mergeCell ref="AN15:AN20"/>
    <mergeCell ref="AO15:AO20"/>
    <mergeCell ref="AJ21:AJ26"/>
    <mergeCell ref="AK21:AK26"/>
    <mergeCell ref="V42:V43"/>
    <mergeCell ref="AQ27:AQ37"/>
    <mergeCell ref="AG60:AG64"/>
    <mergeCell ref="AJ65:AJ68"/>
    <mergeCell ref="AK65:AK68"/>
    <mergeCell ref="AL65:AL68"/>
    <mergeCell ref="AN65:AN68"/>
    <mergeCell ref="S69:S77"/>
    <mergeCell ref="R69:R77"/>
    <mergeCell ref="P65:P68"/>
    <mergeCell ref="Q65:Q68"/>
    <mergeCell ref="AO65:AO68"/>
    <mergeCell ref="AP65:AP68"/>
    <mergeCell ref="AQ65:AQ68"/>
    <mergeCell ref="W45:W49"/>
    <mergeCell ref="AE45:AE49"/>
    <mergeCell ref="AF45:AF49"/>
    <mergeCell ref="AM38:AM41"/>
    <mergeCell ref="AS50:AS57"/>
    <mergeCell ref="AM65:AM68"/>
    <mergeCell ref="M45:M49"/>
    <mergeCell ref="N45:N49"/>
    <mergeCell ref="AY69:AY77"/>
    <mergeCell ref="AK50:AK57"/>
    <mergeCell ref="AH60:AH64"/>
    <mergeCell ref="X50:X57"/>
    <mergeCell ref="Y50:Y57"/>
    <mergeCell ref="AG50:AG57"/>
    <mergeCell ref="AH50:AH57"/>
    <mergeCell ref="Z60:Z64"/>
    <mergeCell ref="AA50:AA57"/>
    <mergeCell ref="AL50:AL57"/>
    <mergeCell ref="AM50:AM57"/>
    <mergeCell ref="AO60:AO64"/>
    <mergeCell ref="AE50:AE57"/>
    <mergeCell ref="AF50:AF57"/>
    <mergeCell ref="AI50:AI57"/>
    <mergeCell ref="AJ50:AJ57"/>
    <mergeCell ref="AJ60:AJ64"/>
    <mergeCell ref="AF60:AF64"/>
    <mergeCell ref="AH65:AH68"/>
    <mergeCell ref="AI65:AI68"/>
    <mergeCell ref="Y69:Y77"/>
    <mergeCell ref="Z69:Z77"/>
    <mergeCell ref="AX69:AX77"/>
    <mergeCell ref="AJ69:AJ77"/>
    <mergeCell ref="AK69:AK77"/>
    <mergeCell ref="AR65:AR68"/>
    <mergeCell ref="AO69:AO77"/>
    <mergeCell ref="AP69:AP77"/>
    <mergeCell ref="AQ69:AQ77"/>
    <mergeCell ref="AR69:AR77"/>
    <mergeCell ref="O50:O57"/>
    <mergeCell ref="P50:P57"/>
    <mergeCell ref="Q50:Q57"/>
    <mergeCell ref="M50:M57"/>
    <mergeCell ref="N50:N57"/>
    <mergeCell ref="W50:W57"/>
    <mergeCell ref="R50:R57"/>
    <mergeCell ref="S50:S57"/>
    <mergeCell ref="W69:W77"/>
    <mergeCell ref="W65:W68"/>
    <mergeCell ref="AI60:AI64"/>
    <mergeCell ref="AB60:AB64"/>
    <mergeCell ref="AG69:AG77"/>
    <mergeCell ref="AH69:AH77"/>
    <mergeCell ref="AI69:AI77"/>
    <mergeCell ref="AD60:AD64"/>
    <mergeCell ref="V60:V64"/>
    <mergeCell ref="T50:T57"/>
    <mergeCell ref="N60:N64"/>
    <mergeCell ref="U50:U57"/>
    <mergeCell ref="AE69:AE77"/>
    <mergeCell ref="S65:S68"/>
    <mergeCell ref="X65:X68"/>
    <mergeCell ref="Y65:Y68"/>
    <mergeCell ref="T60:T64"/>
    <mergeCell ref="AU50:AU57"/>
    <mergeCell ref="AV50:AV57"/>
    <mergeCell ref="AC50:AC57"/>
    <mergeCell ref="AA69:AA77"/>
    <mergeCell ref="R65:R68"/>
    <mergeCell ref="AA65:AA68"/>
    <mergeCell ref="AB65:AB68"/>
    <mergeCell ref="AC65:AC68"/>
    <mergeCell ref="AD65:AD68"/>
    <mergeCell ref="AF65:AF68"/>
    <mergeCell ref="AG65:AG68"/>
    <mergeCell ref="AT69:AT77"/>
    <mergeCell ref="AG45:AG49"/>
    <mergeCell ref="AH45:AH49"/>
    <mergeCell ref="AI45:AI49"/>
    <mergeCell ref="Y42:Y43"/>
    <mergeCell ref="Z42:Z43"/>
    <mergeCell ref="AA42:AA43"/>
    <mergeCell ref="AB42:AB43"/>
    <mergeCell ref="T69:T77"/>
    <mergeCell ref="T65:T68"/>
    <mergeCell ref="AL42:AL43"/>
    <mergeCell ref="S45:S49"/>
    <mergeCell ref="AT42:AT43"/>
    <mergeCell ref="AU42:AU43"/>
    <mergeCell ref="AV42:AV43"/>
    <mergeCell ref="AM60:AM64"/>
    <mergeCell ref="AL69:AL77"/>
    <mergeCell ref="AP42:AP43"/>
    <mergeCell ref="AQ42:AQ43"/>
    <mergeCell ref="AS65:AS68"/>
    <mergeCell ref="AV60:AV64"/>
    <mergeCell ref="B38:B41"/>
    <mergeCell ref="AD38:AD41"/>
    <mergeCell ref="W38:W41"/>
    <mergeCell ref="AR27:AR37"/>
    <mergeCell ref="Y21:Y26"/>
    <mergeCell ref="AI15:AI20"/>
    <mergeCell ref="S21:S26"/>
    <mergeCell ref="AB21:AB26"/>
    <mergeCell ref="AC21:AC26"/>
    <mergeCell ref="U15:U20"/>
    <mergeCell ref="X15:X20"/>
    <mergeCell ref="Y15:Y20"/>
    <mergeCell ref="Z15:Z20"/>
    <mergeCell ref="X21:X26"/>
    <mergeCell ref="AD27:AD37"/>
    <mergeCell ref="AP15:AP20"/>
    <mergeCell ref="AO38:AO41"/>
    <mergeCell ref="P15:P20"/>
    <mergeCell ref="Q15:Q20"/>
    <mergeCell ref="AH38:AH41"/>
    <mergeCell ref="AI38:AI41"/>
    <mergeCell ref="AM21:AM26"/>
    <mergeCell ref="AN21:AN26"/>
    <mergeCell ref="AO21:AO26"/>
    <mergeCell ref="AH27:AH37"/>
    <mergeCell ref="AM27:AM37"/>
    <mergeCell ref="AO27:AO37"/>
    <mergeCell ref="AP27:AP37"/>
    <mergeCell ref="AG38:AG41"/>
    <mergeCell ref="AL38:AL41"/>
    <mergeCell ref="M38:M41"/>
    <mergeCell ref="B27:B37"/>
    <mergeCell ref="BA9:BA14"/>
    <mergeCell ref="AV9:AV14"/>
    <mergeCell ref="AT15:AT20"/>
    <mergeCell ref="BA15:BA20"/>
    <mergeCell ref="AU9:AU14"/>
    <mergeCell ref="AU15:AU20"/>
    <mergeCell ref="AU21:AU26"/>
    <mergeCell ref="AT21:AT26"/>
    <mergeCell ref="AV15:AV20"/>
    <mergeCell ref="Y9:Y14"/>
    <mergeCell ref="Z9:Z14"/>
    <mergeCell ref="AE38:AE41"/>
    <mergeCell ref="AF38:AF41"/>
    <mergeCell ref="AS27:AS37"/>
    <mergeCell ref="Z21:Z26"/>
    <mergeCell ref="AI27:AI37"/>
    <mergeCell ref="AJ27:AJ37"/>
    <mergeCell ref="AK27:AK37"/>
    <mergeCell ref="AL27:AL37"/>
    <mergeCell ref="AN27:AN37"/>
    <mergeCell ref="AB27:AB37"/>
    <mergeCell ref="AG27:AG37"/>
    <mergeCell ref="Z27:Z37"/>
    <mergeCell ref="AL21:AL26"/>
    <mergeCell ref="AT9:AT14"/>
    <mergeCell ref="AO9:AO14"/>
    <mergeCell ref="AP9:AP14"/>
    <mergeCell ref="AR38:AR41"/>
    <mergeCell ref="AZ9:AZ14"/>
    <mergeCell ref="AW15:AW20"/>
    <mergeCell ref="AX9:AX14"/>
    <mergeCell ref="AT27:AT37"/>
    <mergeCell ref="B42:B43"/>
    <mergeCell ref="AJ38:AJ41"/>
    <mergeCell ref="AK38:AK41"/>
    <mergeCell ref="A250:L250"/>
    <mergeCell ref="C9:C14"/>
    <mergeCell ref="M9:M14"/>
    <mergeCell ref="O9:O14"/>
    <mergeCell ref="P9:P14"/>
    <mergeCell ref="Q9:Q14"/>
    <mergeCell ref="A9:A14"/>
    <mergeCell ref="B9:B14"/>
    <mergeCell ref="N9:N14"/>
    <mergeCell ref="A21:A26"/>
    <mergeCell ref="B21:B26"/>
    <mergeCell ref="C21:C26"/>
    <mergeCell ref="M21:M26"/>
    <mergeCell ref="P21:P26"/>
    <mergeCell ref="O21:O26"/>
    <mergeCell ref="O27:O37"/>
    <mergeCell ref="O15:O20"/>
    <mergeCell ref="Q21:Q26"/>
    <mergeCell ref="C15:C20"/>
    <mergeCell ref="A15:A20"/>
    <mergeCell ref="B15:B20"/>
    <mergeCell ref="P27:P37"/>
    <mergeCell ref="Q27:Q37"/>
    <mergeCell ref="B50:B57"/>
    <mergeCell ref="A50:A57"/>
    <mergeCell ref="B65:B68"/>
    <mergeCell ref="M15:M20"/>
    <mergeCell ref="C65:C68"/>
    <mergeCell ref="A27:A37"/>
    <mergeCell ref="A38:A41"/>
    <mergeCell ref="AW9:AW14"/>
    <mergeCell ref="A80:A90"/>
    <mergeCell ref="Q80:Q90"/>
    <mergeCell ref="A78:A79"/>
    <mergeCell ref="A96:A98"/>
    <mergeCell ref="P38:P41"/>
    <mergeCell ref="Q38:Q41"/>
    <mergeCell ref="A65:A68"/>
    <mergeCell ref="AX15:AX20"/>
    <mergeCell ref="AS15:AS20"/>
    <mergeCell ref="AY15:AY20"/>
    <mergeCell ref="AZ15:AZ20"/>
    <mergeCell ref="X27:X37"/>
    <mergeCell ref="U21:U26"/>
    <mergeCell ref="V21:V26"/>
    <mergeCell ref="AA38:AA41"/>
    <mergeCell ref="AB38:AB41"/>
    <mergeCell ref="AC38:AC41"/>
    <mergeCell ref="X42:X43"/>
    <mergeCell ref="Y27:Y37"/>
    <mergeCell ref="R27:R37"/>
    <mergeCell ref="S27:S37"/>
    <mergeCell ref="R21:R26"/>
    <mergeCell ref="R15:R20"/>
    <mergeCell ref="S15:S20"/>
    <mergeCell ref="C45:C49"/>
    <mergeCell ref="A42:A43"/>
    <mergeCell ref="AS38:AS41"/>
    <mergeCell ref="AM42:AM43"/>
    <mergeCell ref="AN42:AN43"/>
    <mergeCell ref="AO42:AO43"/>
    <mergeCell ref="A69:A77"/>
    <mergeCell ref="B69:B77"/>
    <mergeCell ref="C69:C77"/>
    <mergeCell ref="M69:M77"/>
    <mergeCell ref="N69:N77"/>
    <mergeCell ref="O69:O77"/>
    <mergeCell ref="P69:P77"/>
    <mergeCell ref="Q69:Q77"/>
    <mergeCell ref="O60:O64"/>
    <mergeCell ref="AG15:AG20"/>
    <mergeCell ref="AH15:AH20"/>
    <mergeCell ref="AG9:AG14"/>
    <mergeCell ref="AH9:AH14"/>
    <mergeCell ref="AB9:AB14"/>
    <mergeCell ref="X9:X14"/>
    <mergeCell ref="AJ42:AJ43"/>
    <mergeCell ref="AK42:AK43"/>
    <mergeCell ref="V9:V14"/>
    <mergeCell ref="W9:W14"/>
    <mergeCell ref="V15:V20"/>
    <mergeCell ref="S42:S43"/>
    <mergeCell ref="AG42:AG43"/>
    <mergeCell ref="AH42:AH43"/>
    <mergeCell ref="U27:U37"/>
    <mergeCell ref="AE42:AE43"/>
    <mergeCell ref="Q45:Q49"/>
    <mergeCell ref="AC45:AC49"/>
    <mergeCell ref="AE15:AE20"/>
    <mergeCell ref="AF15:AF20"/>
    <mergeCell ref="AE21:AE26"/>
    <mergeCell ref="AD21:AD26"/>
    <mergeCell ref="AF42:AF43"/>
    <mergeCell ref="AX42:AX43"/>
    <mergeCell ref="AW38:AW41"/>
    <mergeCell ref="AW42:AW43"/>
    <mergeCell ref="AP38:AP41"/>
    <mergeCell ref="AS9:AS14"/>
    <mergeCell ref="AE9:AE14"/>
    <mergeCell ref="AR42:AR43"/>
    <mergeCell ref="AS21:AS26"/>
    <mergeCell ref="AM45:AM49"/>
    <mergeCell ref="AN45:AN49"/>
    <mergeCell ref="AO45:AO49"/>
    <mergeCell ref="AP45:AP49"/>
    <mergeCell ref="AQ45:AQ49"/>
    <mergeCell ref="AR45:AR49"/>
    <mergeCell ref="AQ21:AQ26"/>
    <mergeCell ref="AR21:AR26"/>
    <mergeCell ref="AB15:AB20"/>
    <mergeCell ref="AC15:AC20"/>
    <mergeCell ref="AP21:AP26"/>
    <mergeCell ref="AQ38:AQ41"/>
    <mergeCell ref="AI42:AI43"/>
    <mergeCell ref="AX38:AX41"/>
    <mergeCell ref="V27:V37"/>
    <mergeCell ref="T38:T41"/>
    <mergeCell ref="U38:U41"/>
    <mergeCell ref="V38:V41"/>
    <mergeCell ref="AC42:AC43"/>
    <mergeCell ref="AF9:AF14"/>
    <mergeCell ref="U9:U14"/>
    <mergeCell ref="AC9:AC14"/>
    <mergeCell ref="AD15:AD20"/>
    <mergeCell ref="N21:N26"/>
    <mergeCell ref="M27:M37"/>
    <mergeCell ref="R42:R43"/>
    <mergeCell ref="AD42:AD43"/>
    <mergeCell ref="Y38:Y41"/>
    <mergeCell ref="M42:M43"/>
    <mergeCell ref="N42:N43"/>
    <mergeCell ref="O42:O43"/>
    <mergeCell ref="P42:P43"/>
    <mergeCell ref="Q42:Q43"/>
    <mergeCell ref="T15:T20"/>
    <mergeCell ref="T21:T26"/>
    <mergeCell ref="T27:T37"/>
    <mergeCell ref="W21:W26"/>
    <mergeCell ref="W27:W37"/>
    <mergeCell ref="T42:T43"/>
    <mergeCell ref="X38:X41"/>
    <mergeCell ref="Z38:Z41"/>
    <mergeCell ref="AF21:AF26"/>
    <mergeCell ref="AE27:AE37"/>
    <mergeCell ref="AF27:AF37"/>
    <mergeCell ref="W42:W43"/>
    <mergeCell ref="U42:U43"/>
    <mergeCell ref="W15:W20"/>
    <mergeCell ref="A60:A64"/>
    <mergeCell ref="B60:B64"/>
    <mergeCell ref="C60:C64"/>
    <mergeCell ref="AD45:AD49"/>
    <mergeCell ref="Q60:Q64"/>
    <mergeCell ref="R60:R64"/>
    <mergeCell ref="S60:S64"/>
    <mergeCell ref="X60:X64"/>
    <mergeCell ref="Y60:Y64"/>
    <mergeCell ref="T45:T49"/>
    <mergeCell ref="X45:X49"/>
    <mergeCell ref="Y45:Y49"/>
    <mergeCell ref="Z45:Z49"/>
    <mergeCell ref="AA45:AA49"/>
    <mergeCell ref="AB45:AB49"/>
    <mergeCell ref="AA60:AA64"/>
    <mergeCell ref="A45:A49"/>
    <mergeCell ref="AB50:AB57"/>
    <mergeCell ref="AD50:AD57"/>
    <mergeCell ref="V45:V49"/>
    <mergeCell ref="V50:V57"/>
    <mergeCell ref="O45:O49"/>
    <mergeCell ref="P45:P49"/>
    <mergeCell ref="P60:P64"/>
    <mergeCell ref="M60:M64"/>
    <mergeCell ref="R45:R49"/>
    <mergeCell ref="C50:C57"/>
    <mergeCell ref="B45:B49"/>
    <mergeCell ref="N38:N41"/>
    <mergeCell ref="O38:O41"/>
    <mergeCell ref="R38:R41"/>
    <mergeCell ref="AD69:AD77"/>
    <mergeCell ref="AF69:AF77"/>
    <mergeCell ref="AC60:AC64"/>
    <mergeCell ref="AB69:AB77"/>
    <mergeCell ref="X69:X77"/>
    <mergeCell ref="M65:M68"/>
    <mergeCell ref="N65:N68"/>
    <mergeCell ref="O65:O68"/>
    <mergeCell ref="S78:S79"/>
    <mergeCell ref="T78:T79"/>
    <mergeCell ref="U78:U79"/>
    <mergeCell ref="V78:V79"/>
    <mergeCell ref="W60:W64"/>
    <mergeCell ref="AB78:AB79"/>
    <mergeCell ref="AC78:AC79"/>
    <mergeCell ref="AD78:AD79"/>
    <mergeCell ref="AE78:AE79"/>
    <mergeCell ref="Z65:Z68"/>
    <mergeCell ref="AE60:AE64"/>
    <mergeCell ref="AE65:AE68"/>
    <mergeCell ref="Y78:Y79"/>
    <mergeCell ref="AF78:AF79"/>
    <mergeCell ref="Z78:Z79"/>
    <mergeCell ref="U60:U64"/>
    <mergeCell ref="X78:X79"/>
    <mergeCell ref="S38:S41"/>
    <mergeCell ref="AL78:AL79"/>
    <mergeCell ref="C99:C104"/>
    <mergeCell ref="T99:T104"/>
    <mergeCell ref="P113:P114"/>
    <mergeCell ref="Q113:Q114"/>
    <mergeCell ref="R113:R114"/>
    <mergeCell ref="S113:S114"/>
    <mergeCell ref="M78:M79"/>
    <mergeCell ref="AN38:AN41"/>
    <mergeCell ref="AL60:AL64"/>
    <mergeCell ref="AO78:AO79"/>
    <mergeCell ref="AQ99:AQ104"/>
    <mergeCell ref="S96:S98"/>
    <mergeCell ref="T96:T98"/>
    <mergeCell ref="U96:U98"/>
    <mergeCell ref="W96:W98"/>
    <mergeCell ref="AN60:AN64"/>
    <mergeCell ref="Z80:Z90"/>
    <mergeCell ref="AI80:AI90"/>
    <mergeCell ref="AJ80:AJ90"/>
    <mergeCell ref="AK80:AK90"/>
    <mergeCell ref="AH96:AH98"/>
    <mergeCell ref="AL99:AL104"/>
    <mergeCell ref="AJ96:AJ98"/>
    <mergeCell ref="AG80:AG90"/>
    <mergeCell ref="AE99:AE104"/>
    <mergeCell ref="AF99:AF104"/>
    <mergeCell ref="AQ96:AQ98"/>
    <mergeCell ref="AK60:AK64"/>
    <mergeCell ref="Z50:Z57"/>
    <mergeCell ref="U45:U49"/>
    <mergeCell ref="AI78:AI79"/>
    <mergeCell ref="AK96:AK98"/>
    <mergeCell ref="Y80:Y90"/>
    <mergeCell ref="B113:B114"/>
    <mergeCell ref="C113:C114"/>
    <mergeCell ref="M113:M114"/>
    <mergeCell ref="V113:V114"/>
    <mergeCell ref="B80:B90"/>
    <mergeCell ref="C80:C90"/>
    <mergeCell ref="M80:M90"/>
    <mergeCell ref="N80:N90"/>
    <mergeCell ref="O80:O90"/>
    <mergeCell ref="P80:P90"/>
    <mergeCell ref="N96:N98"/>
    <mergeCell ref="V80:V90"/>
    <mergeCell ref="W80:W90"/>
    <mergeCell ref="U80:U90"/>
    <mergeCell ref="C105:C110"/>
    <mergeCell ref="M105:M110"/>
    <mergeCell ref="W78:W79"/>
    <mergeCell ref="R80:R90"/>
    <mergeCell ref="S80:S90"/>
    <mergeCell ref="T80:T90"/>
    <mergeCell ref="O96:O98"/>
    <mergeCell ref="P96:P98"/>
    <mergeCell ref="T105:T110"/>
    <mergeCell ref="U105:U110"/>
    <mergeCell ref="B99:B104"/>
    <mergeCell ref="B105:B110"/>
    <mergeCell ref="AE96:AE98"/>
    <mergeCell ref="O78:O79"/>
    <mergeCell ref="B96:B98"/>
    <mergeCell ref="AM78:AM79"/>
    <mergeCell ref="AN78:AN79"/>
    <mergeCell ref="AQ78:AQ79"/>
    <mergeCell ref="AR78:AR79"/>
    <mergeCell ref="AC69:AC77"/>
    <mergeCell ref="AE80:AE90"/>
    <mergeCell ref="U65:U68"/>
    <mergeCell ref="V65:V68"/>
    <mergeCell ref="AB80:AB90"/>
    <mergeCell ref="AR99:AR104"/>
    <mergeCell ref="AG105:AG110"/>
    <mergeCell ref="AB105:AB110"/>
    <mergeCell ref="AC105:AC110"/>
    <mergeCell ref="AJ105:AJ110"/>
    <mergeCell ref="AE105:AE110"/>
    <mergeCell ref="AH99:AH104"/>
    <mergeCell ref="AI99:AI104"/>
    <mergeCell ref="AJ99:AJ104"/>
    <mergeCell ref="AK99:AK104"/>
    <mergeCell ref="U69:U77"/>
    <mergeCell ref="X96:X98"/>
    <mergeCell ref="Y96:Y98"/>
    <mergeCell ref="Z96:Z98"/>
    <mergeCell ref="AG96:AG98"/>
    <mergeCell ref="AI96:AI98"/>
    <mergeCell ref="AN96:AN98"/>
    <mergeCell ref="AR96:AR98"/>
    <mergeCell ref="V69:V77"/>
    <mergeCell ref="AJ78:AJ79"/>
    <mergeCell ref="AK78:AK79"/>
    <mergeCell ref="AM69:AM77"/>
    <mergeCell ref="AN69:AN77"/>
    <mergeCell ref="C96:C98"/>
    <mergeCell ref="M96:M98"/>
    <mergeCell ref="B78:B79"/>
    <mergeCell ref="C78:C79"/>
    <mergeCell ref="AH78:AH79"/>
    <mergeCell ref="W99:W104"/>
    <mergeCell ref="W105:W110"/>
    <mergeCell ref="AD105:AD110"/>
    <mergeCell ref="AB99:AB104"/>
    <mergeCell ref="AC99:AC104"/>
    <mergeCell ref="AD99:AD104"/>
    <mergeCell ref="AG99:AG104"/>
    <mergeCell ref="P78:P79"/>
    <mergeCell ref="Q78:Q79"/>
    <mergeCell ref="R78:R79"/>
    <mergeCell ref="AF96:AF98"/>
    <mergeCell ref="X80:X90"/>
    <mergeCell ref="Q96:Q98"/>
    <mergeCell ref="V105:V110"/>
    <mergeCell ref="X105:X110"/>
    <mergeCell ref="AB96:AB98"/>
    <mergeCell ref="AC96:AC98"/>
    <mergeCell ref="AD80:AD90"/>
    <mergeCell ref="AH105:AH110"/>
    <mergeCell ref="U99:U104"/>
    <mergeCell ref="V99:V104"/>
    <mergeCell ref="Y105:Y110"/>
    <mergeCell ref="Z105:Z110"/>
    <mergeCell ref="AG78:AG79"/>
    <mergeCell ref="AA80:AA90"/>
    <mergeCell ref="N78:N79"/>
    <mergeCell ref="AA78:AA79"/>
    <mergeCell ref="V115:V116"/>
    <mergeCell ref="AI105:AI110"/>
    <mergeCell ref="AK105:AK110"/>
    <mergeCell ref="AH113:AH114"/>
    <mergeCell ref="AO113:AO114"/>
    <mergeCell ref="AK113:AK114"/>
    <mergeCell ref="AN105:AN110"/>
    <mergeCell ref="AP105:AP110"/>
    <mergeCell ref="AO96:AO98"/>
    <mergeCell ref="AM99:AM104"/>
    <mergeCell ref="AP96:AP98"/>
    <mergeCell ref="Y99:Y104"/>
    <mergeCell ref="Z99:Z104"/>
    <mergeCell ref="AA99:AA104"/>
    <mergeCell ref="AL105:AL110"/>
    <mergeCell ref="AM105:AM110"/>
    <mergeCell ref="AN99:AN104"/>
    <mergeCell ref="AA105:AA110"/>
    <mergeCell ref="X99:X104"/>
    <mergeCell ref="AP99:AP104"/>
    <mergeCell ref="Y115:Y116"/>
    <mergeCell ref="Z115:Z116"/>
    <mergeCell ref="AA115:AA116"/>
    <mergeCell ref="AE115:AE116"/>
    <mergeCell ref="AF115:AF116"/>
    <mergeCell ref="AB115:AB116"/>
    <mergeCell ref="AC115:AC116"/>
    <mergeCell ref="AD115:AD116"/>
    <mergeCell ref="AG115:AG116"/>
    <mergeCell ref="AH115:AH116"/>
    <mergeCell ref="AI115:AI116"/>
    <mergeCell ref="AJ115:AJ116"/>
    <mergeCell ref="AO105:AO110"/>
    <mergeCell ref="AQ80:AQ90"/>
    <mergeCell ref="AM80:AM90"/>
    <mergeCell ref="AN80:AN90"/>
    <mergeCell ref="AJ113:AJ114"/>
    <mergeCell ref="AL113:AL114"/>
    <mergeCell ref="AP113:AP114"/>
    <mergeCell ref="AI113:AI114"/>
    <mergeCell ref="AM113:AM114"/>
    <mergeCell ref="AN113:AN114"/>
    <mergeCell ref="AC113:AC114"/>
    <mergeCell ref="AD113:AD114"/>
    <mergeCell ref="AF105:AF110"/>
    <mergeCell ref="AE113:AE114"/>
    <mergeCell ref="AF113:AF114"/>
    <mergeCell ref="AM96:AM98"/>
    <mergeCell ref="AC80:AC90"/>
    <mergeCell ref="AL80:AL90"/>
    <mergeCell ref="AQ105:AQ110"/>
    <mergeCell ref="AF80:AF90"/>
    <mergeCell ref="B115:B116"/>
    <mergeCell ref="C115:C116"/>
    <mergeCell ref="M115:M116"/>
    <mergeCell ref="A105:A110"/>
    <mergeCell ref="S105:S110"/>
    <mergeCell ref="A115:A116"/>
    <mergeCell ref="N115:N116"/>
    <mergeCell ref="O115:O116"/>
    <mergeCell ref="A117:A121"/>
    <mergeCell ref="B117:B121"/>
    <mergeCell ref="C117:C121"/>
    <mergeCell ref="Q127:Q132"/>
    <mergeCell ref="O127:O132"/>
    <mergeCell ref="N127:N132"/>
    <mergeCell ref="M127:M132"/>
    <mergeCell ref="C127:C132"/>
    <mergeCell ref="AO133:AO138"/>
    <mergeCell ref="AM115:AM116"/>
    <mergeCell ref="AN115:AN116"/>
    <mergeCell ref="AO115:AO116"/>
    <mergeCell ref="T115:T116"/>
    <mergeCell ref="R115:R116"/>
    <mergeCell ref="AE117:AE121"/>
    <mergeCell ref="AF117:AF121"/>
    <mergeCell ref="AE122:AE126"/>
    <mergeCell ref="AF122:AF126"/>
    <mergeCell ref="AK122:AK126"/>
    <mergeCell ref="AJ122:AJ126"/>
    <mergeCell ref="AA127:AA132"/>
    <mergeCell ref="Z127:Z132"/>
    <mergeCell ref="Y127:Y132"/>
    <mergeCell ref="X127:X132"/>
    <mergeCell ref="BA80:BA90"/>
    <mergeCell ref="AQ113:AQ114"/>
    <mergeCell ref="AQ115:AQ116"/>
    <mergeCell ref="AR115:AR116"/>
    <mergeCell ref="R96:R98"/>
    <mergeCell ref="AA96:AA98"/>
    <mergeCell ref="V96:V98"/>
    <mergeCell ref="AL96:AL98"/>
    <mergeCell ref="AD96:AD98"/>
    <mergeCell ref="AP115:AP116"/>
    <mergeCell ref="AR113:AR114"/>
    <mergeCell ref="AR105:AR110"/>
    <mergeCell ref="AO99:AO104"/>
    <mergeCell ref="AH80:AH90"/>
    <mergeCell ref="P115:P116"/>
    <mergeCell ref="Q115:Q116"/>
    <mergeCell ref="AN127:AN132"/>
    <mergeCell ref="AM127:AM132"/>
    <mergeCell ref="AP122:AP126"/>
    <mergeCell ref="AQ122:AQ126"/>
    <mergeCell ref="W115:W116"/>
    <mergeCell ref="X115:X116"/>
    <mergeCell ref="P127:P132"/>
    <mergeCell ref="T117:T121"/>
    <mergeCell ref="U117:U121"/>
    <mergeCell ref="V117:V121"/>
    <mergeCell ref="W117:W121"/>
    <mergeCell ref="X117:X121"/>
    <mergeCell ref="S115:S116"/>
    <mergeCell ref="U115:U116"/>
    <mergeCell ref="AL115:AL116"/>
    <mergeCell ref="AK115:AK116"/>
    <mergeCell ref="A99:A104"/>
    <mergeCell ref="M99:M104"/>
    <mergeCell ref="N99:N104"/>
    <mergeCell ref="O99:O104"/>
    <mergeCell ref="P99:P104"/>
    <mergeCell ref="Q99:Q104"/>
    <mergeCell ref="R99:R104"/>
    <mergeCell ref="S99:S104"/>
    <mergeCell ref="A127:A132"/>
    <mergeCell ref="O105:O110"/>
    <mergeCell ref="P105:P110"/>
    <mergeCell ref="Q105:Q110"/>
    <mergeCell ref="R105:R110"/>
    <mergeCell ref="A113:A114"/>
    <mergeCell ref="N113:N114"/>
    <mergeCell ref="O113:O114"/>
    <mergeCell ref="AO122:AO126"/>
    <mergeCell ref="AO127:AO132"/>
    <mergeCell ref="X113:X114"/>
    <mergeCell ref="Y113:Y114"/>
    <mergeCell ref="Z113:Z114"/>
    <mergeCell ref="AA113:AA114"/>
    <mergeCell ref="AB113:AB114"/>
    <mergeCell ref="AG113:AG114"/>
    <mergeCell ref="T113:T114"/>
    <mergeCell ref="U113:U114"/>
    <mergeCell ref="W113:W114"/>
    <mergeCell ref="N105:N110"/>
    <mergeCell ref="Y117:Y121"/>
    <mergeCell ref="Z117:Z121"/>
    <mergeCell ref="W127:W132"/>
    <mergeCell ref="V127:V132"/>
    <mergeCell ref="S139:S144"/>
    <mergeCell ref="T139:T144"/>
    <mergeCell ref="U139:U144"/>
    <mergeCell ref="V139:V144"/>
    <mergeCell ref="W139:W144"/>
    <mergeCell ref="X139:X144"/>
    <mergeCell ref="Y139:Y144"/>
    <mergeCell ref="Z139:Z144"/>
    <mergeCell ref="AA139:AA144"/>
    <mergeCell ref="AD133:AD138"/>
    <mergeCell ref="Q133:Q138"/>
    <mergeCell ref="AR127:AR132"/>
    <mergeCell ref="AS127:AS132"/>
    <mergeCell ref="AT127:AT132"/>
    <mergeCell ref="AG127:AG132"/>
    <mergeCell ref="AD127:AD132"/>
    <mergeCell ref="AL127:AL132"/>
    <mergeCell ref="AK127:AK132"/>
    <mergeCell ref="AJ127:AJ132"/>
    <mergeCell ref="AI127:AI132"/>
    <mergeCell ref="AH127:AH132"/>
    <mergeCell ref="AE127:AE132"/>
    <mergeCell ref="AF127:AF132"/>
    <mergeCell ref="AP127:AP132"/>
    <mergeCell ref="AQ127:AQ132"/>
    <mergeCell ref="R133:R138"/>
    <mergeCell ref="S133:S138"/>
    <mergeCell ref="T133:T138"/>
    <mergeCell ref="U133:U138"/>
    <mergeCell ref="V133:V138"/>
    <mergeCell ref="AB139:AB144"/>
    <mergeCell ref="AG133:AG138"/>
    <mergeCell ref="AT139:AT144"/>
    <mergeCell ref="AU139:AU144"/>
    <mergeCell ref="AV139:AV144"/>
    <mergeCell ref="AX139:AX144"/>
    <mergeCell ref="AY139:AY144"/>
    <mergeCell ref="AG139:AG144"/>
    <mergeCell ref="AU133:AU138"/>
    <mergeCell ref="AV133:AV138"/>
    <mergeCell ref="AC139:AC144"/>
    <mergeCell ref="AD139:AD144"/>
    <mergeCell ref="AX133:AX138"/>
    <mergeCell ref="AY133:AY138"/>
    <mergeCell ref="AE133:AE138"/>
    <mergeCell ref="AF133:AF138"/>
    <mergeCell ref="AE139:AE144"/>
    <mergeCell ref="AF139:AF144"/>
    <mergeCell ref="AP133:AP138"/>
    <mergeCell ref="AH133:AH138"/>
    <mergeCell ref="AI133:AI138"/>
    <mergeCell ref="AJ133:AJ138"/>
    <mergeCell ref="C139:C144"/>
    <mergeCell ref="M139:M144"/>
    <mergeCell ref="N139:N144"/>
    <mergeCell ref="O139:O144"/>
    <mergeCell ref="P139:P144"/>
    <mergeCell ref="Q139:Q144"/>
    <mergeCell ref="R139:R144"/>
    <mergeCell ref="V151:V156"/>
    <mergeCell ref="W151:W156"/>
    <mergeCell ref="X151:X156"/>
    <mergeCell ref="Y151:Y156"/>
    <mergeCell ref="AJ145:AJ150"/>
    <mergeCell ref="A145:A150"/>
    <mergeCell ref="B145:B150"/>
    <mergeCell ref="C145:C150"/>
    <mergeCell ref="M145:M150"/>
    <mergeCell ref="N145:N150"/>
    <mergeCell ref="O145:O150"/>
    <mergeCell ref="P145:P150"/>
    <mergeCell ref="Q145:Q150"/>
    <mergeCell ref="Y145:Y150"/>
    <mergeCell ref="AA145:AA150"/>
    <mergeCell ref="AE145:AE150"/>
    <mergeCell ref="AF145:AF150"/>
    <mergeCell ref="AB145:AB150"/>
    <mergeCell ref="AC145:AC150"/>
    <mergeCell ref="AD145:AD150"/>
    <mergeCell ref="AI145:AI150"/>
    <mergeCell ref="A151:A156"/>
    <mergeCell ref="B151:B156"/>
    <mergeCell ref="C151:C156"/>
    <mergeCell ref="M151:M156"/>
    <mergeCell ref="N151:N156"/>
    <mergeCell ref="O151:O156"/>
    <mergeCell ref="P151:P156"/>
    <mergeCell ref="Q151:Q156"/>
    <mergeCell ref="R151:R156"/>
    <mergeCell ref="S151:S156"/>
    <mergeCell ref="T151:T156"/>
    <mergeCell ref="BA151:BA156"/>
    <mergeCell ref="AI151:AI156"/>
    <mergeCell ref="AJ151:AJ156"/>
    <mergeCell ref="AK151:AK156"/>
    <mergeCell ref="AL151:AL156"/>
    <mergeCell ref="AM151:AM156"/>
    <mergeCell ref="AN151:AN156"/>
    <mergeCell ref="AO151:AO156"/>
    <mergeCell ref="AP151:AP156"/>
    <mergeCell ref="AQ151:AQ156"/>
    <mergeCell ref="Z151:Z156"/>
    <mergeCell ref="AA151:AA156"/>
    <mergeCell ref="AB151:AB156"/>
    <mergeCell ref="AC151:AC156"/>
    <mergeCell ref="AD151:AD156"/>
    <mergeCell ref="AG151:AG156"/>
    <mergeCell ref="AH151:AH156"/>
    <mergeCell ref="AW151:AW156"/>
    <mergeCell ref="AE151:AE156"/>
    <mergeCell ref="AF151:AF156"/>
    <mergeCell ref="AZ151:AZ156"/>
    <mergeCell ref="U151:U156"/>
    <mergeCell ref="Q157:Q159"/>
    <mergeCell ref="R157:R159"/>
    <mergeCell ref="S157:S159"/>
    <mergeCell ref="T157:T159"/>
    <mergeCell ref="U157:U159"/>
    <mergeCell ref="V157:V159"/>
    <mergeCell ref="W157:W159"/>
    <mergeCell ref="X157:X159"/>
    <mergeCell ref="Y157:Y159"/>
    <mergeCell ref="A157:A159"/>
    <mergeCell ref="B157:B159"/>
    <mergeCell ref="C157:C159"/>
    <mergeCell ref="M157:M159"/>
    <mergeCell ref="N157:N159"/>
    <mergeCell ref="O157:O159"/>
    <mergeCell ref="P157:P159"/>
    <mergeCell ref="AE157:AE159"/>
    <mergeCell ref="AW157:AW159"/>
    <mergeCell ref="Z157:Z159"/>
    <mergeCell ref="AA157:AA159"/>
    <mergeCell ref="AB157:AB159"/>
    <mergeCell ref="AC157:AC159"/>
    <mergeCell ref="AD157:AD159"/>
    <mergeCell ref="AG157:AG159"/>
    <mergeCell ref="AH157:AH159"/>
    <mergeCell ref="AS151:AS156"/>
    <mergeCell ref="AT151:AT156"/>
    <mergeCell ref="AU151:AU156"/>
    <mergeCell ref="AV151:AV156"/>
    <mergeCell ref="AX151:AX156"/>
    <mergeCell ref="AY151:AY156"/>
    <mergeCell ref="AS145:AS150"/>
    <mergeCell ref="AT145:AT150"/>
    <mergeCell ref="AU145:AU150"/>
    <mergeCell ref="AV145:AV150"/>
    <mergeCell ref="AX145:AX150"/>
    <mergeCell ref="AY145:AY150"/>
    <mergeCell ref="AR157:AR159"/>
    <mergeCell ref="AS157:AS159"/>
    <mergeCell ref="AT157:AT159"/>
    <mergeCell ref="AU157:AU159"/>
    <mergeCell ref="AV157:AV159"/>
    <mergeCell ref="AX157:AX159"/>
    <mergeCell ref="AY157:AY159"/>
    <mergeCell ref="AF157:AF159"/>
    <mergeCell ref="AR151:AR156"/>
    <mergeCell ref="AY78:AY79"/>
    <mergeCell ref="AZ78:AZ79"/>
    <mergeCell ref="AY60:AY64"/>
    <mergeCell ref="AX21:AX26"/>
    <mergeCell ref="AY21:AY26"/>
    <mergeCell ref="AZ21:AZ26"/>
    <mergeCell ref="AZ157:AZ159"/>
    <mergeCell ref="BA157:BA159"/>
    <mergeCell ref="AI157:AI159"/>
    <mergeCell ref="AJ157:AJ159"/>
    <mergeCell ref="AK157:AK159"/>
    <mergeCell ref="AL157:AL159"/>
    <mergeCell ref="AM157:AM159"/>
    <mergeCell ref="AN157:AN159"/>
    <mergeCell ref="AO157:AO159"/>
    <mergeCell ref="AP157:AP159"/>
    <mergeCell ref="AQ157:AQ159"/>
    <mergeCell ref="BA139:BA144"/>
    <mergeCell ref="BA78:BA79"/>
    <mergeCell ref="AS60:AS64"/>
    <mergeCell ref="AT60:AT64"/>
    <mergeCell ref="AU60:AU64"/>
    <mergeCell ref="AW127:AW132"/>
    <mergeCell ref="AW133:AW138"/>
    <mergeCell ref="AW139:AW144"/>
    <mergeCell ref="AU80:AU90"/>
    <mergeCell ref="BA45:BA49"/>
    <mergeCell ref="BA21:BA26"/>
    <mergeCell ref="AY80:AY90"/>
    <mergeCell ref="AZ80:AZ90"/>
    <mergeCell ref="AS80:AS90"/>
    <mergeCell ref="AT80:AT90"/>
    <mergeCell ref="BA27:BA37"/>
    <mergeCell ref="AY27:AY37"/>
    <mergeCell ref="BA42:BA43"/>
    <mergeCell ref="AU69:AU77"/>
    <mergeCell ref="AV69:AV77"/>
    <mergeCell ref="BA38:BA41"/>
    <mergeCell ref="AZ60:AZ64"/>
    <mergeCell ref="BA60:BA64"/>
    <mergeCell ref="AV65:AV68"/>
    <mergeCell ref="AX65:AX68"/>
    <mergeCell ref="AX45:AX49"/>
    <mergeCell ref="AY45:AY49"/>
    <mergeCell ref="AZ45:AZ49"/>
    <mergeCell ref="AW21:AW26"/>
    <mergeCell ref="AW27:AW37"/>
    <mergeCell ref="AX50:AX57"/>
    <mergeCell ref="AY50:AY57"/>
    <mergeCell ref="AZ50:AZ57"/>
    <mergeCell ref="BA50:BA57"/>
    <mergeCell ref="AU45:AU49"/>
    <mergeCell ref="AV45:AV49"/>
    <mergeCell ref="AW45:AW49"/>
    <mergeCell ref="AZ38:AZ41"/>
    <mergeCell ref="AY42:AY43"/>
    <mergeCell ref="AZ42:AZ43"/>
    <mergeCell ref="AZ27:AZ37"/>
    <mergeCell ref="AV21:AV26"/>
    <mergeCell ref="AY65:AY68"/>
    <mergeCell ref="AZ65:AZ68"/>
    <mergeCell ref="BA65:BA68"/>
    <mergeCell ref="AZ69:AZ77"/>
    <mergeCell ref="BA69:BA77"/>
    <mergeCell ref="AX60:AX64"/>
    <mergeCell ref="AT38:AT41"/>
    <mergeCell ref="AU38:AU41"/>
    <mergeCell ref="AV38:AV41"/>
    <mergeCell ref="AT65:AT68"/>
    <mergeCell ref="AU65:AU68"/>
    <mergeCell ref="AW50:AW57"/>
    <mergeCell ref="AW60:AW64"/>
    <mergeCell ref="AW65:AW68"/>
    <mergeCell ref="AW69:AW77"/>
    <mergeCell ref="AV80:AV90"/>
    <mergeCell ref="AW80:AW90"/>
    <mergeCell ref="AX80:AX90"/>
    <mergeCell ref="AN50:AN57"/>
    <mergeCell ref="AO50:AO57"/>
    <mergeCell ref="AP50:AP57"/>
    <mergeCell ref="AQ50:AQ57"/>
    <mergeCell ref="AR50:AR57"/>
    <mergeCell ref="AP60:AP64"/>
    <mergeCell ref="AQ60:AQ64"/>
    <mergeCell ref="AR60:AR64"/>
    <mergeCell ref="AT50:AT57"/>
    <mergeCell ref="AT45:AT49"/>
    <mergeCell ref="AS45:AS49"/>
    <mergeCell ref="AU78:AU79"/>
    <mergeCell ref="AV78:AV79"/>
    <mergeCell ref="AW78:AW79"/>
    <mergeCell ref="AX78:AX79"/>
    <mergeCell ref="AS78:AS79"/>
    <mergeCell ref="AT78:AT79"/>
    <mergeCell ref="AR80:AR90"/>
    <mergeCell ref="AP78:AP79"/>
    <mergeCell ref="N202:N207"/>
    <mergeCell ref="O202:O207"/>
    <mergeCell ref="P202:P207"/>
    <mergeCell ref="Q202:Q207"/>
    <mergeCell ref="R202:R207"/>
    <mergeCell ref="S202:S207"/>
    <mergeCell ref="T202:T207"/>
    <mergeCell ref="U202:U207"/>
    <mergeCell ref="V202:V207"/>
    <mergeCell ref="W202:W207"/>
    <mergeCell ref="X202:X207"/>
    <mergeCell ref="Y202:Y207"/>
    <mergeCell ref="Z202:Z207"/>
    <mergeCell ref="AA202:AA207"/>
    <mergeCell ref="AB202:AB207"/>
    <mergeCell ref="AC202:AC207"/>
    <mergeCell ref="AD202:AD207"/>
    <mergeCell ref="AS202:AS207"/>
    <mergeCell ref="AT202:AT207"/>
    <mergeCell ref="AU202:AU207"/>
    <mergeCell ref="AV202:AV207"/>
    <mergeCell ref="AW202:AW207"/>
    <mergeCell ref="AX202:AX207"/>
    <mergeCell ref="AY202:AY207"/>
    <mergeCell ref="AZ202:AZ207"/>
    <mergeCell ref="BA202:BA207"/>
    <mergeCell ref="A215:A221"/>
    <mergeCell ref="B215:B221"/>
    <mergeCell ref="C215:C221"/>
    <mergeCell ref="M215:M221"/>
    <mergeCell ref="N215:N221"/>
    <mergeCell ref="O215:O221"/>
    <mergeCell ref="P215:P221"/>
    <mergeCell ref="Q215:Q221"/>
    <mergeCell ref="R215:R221"/>
    <mergeCell ref="S215:S221"/>
    <mergeCell ref="T215:T221"/>
    <mergeCell ref="U215:U221"/>
    <mergeCell ref="V215:V221"/>
    <mergeCell ref="W215:W221"/>
    <mergeCell ref="X215:X221"/>
    <mergeCell ref="Y215:Y221"/>
    <mergeCell ref="Z215:Z221"/>
    <mergeCell ref="AA215:AA221"/>
    <mergeCell ref="AB215:AB221"/>
    <mergeCell ref="AC215:AC221"/>
    <mergeCell ref="AJ208:AJ214"/>
    <mergeCell ref="AK208:AK214"/>
    <mergeCell ref="AL208:AL214"/>
    <mergeCell ref="AL215:AL221"/>
    <mergeCell ref="AM215:AM221"/>
    <mergeCell ref="AN215:AN221"/>
    <mergeCell ref="AO215:AO221"/>
    <mergeCell ref="AP215:AP221"/>
    <mergeCell ref="AQ215:AQ221"/>
    <mergeCell ref="AR215:AR221"/>
    <mergeCell ref="AS215:AS221"/>
    <mergeCell ref="AT215:AT221"/>
    <mergeCell ref="AU215:AU221"/>
    <mergeCell ref="S208:S214"/>
    <mergeCell ref="T208:T214"/>
    <mergeCell ref="U208:U214"/>
    <mergeCell ref="V208:V214"/>
    <mergeCell ref="W208:W214"/>
    <mergeCell ref="X208:X214"/>
    <mergeCell ref="Y208:Y214"/>
    <mergeCell ref="Z208:Z214"/>
    <mergeCell ref="AA208:AA214"/>
    <mergeCell ref="AB208:AB214"/>
    <mergeCell ref="AC208:AC214"/>
    <mergeCell ref="AD208:AD214"/>
    <mergeCell ref="AE208:AE214"/>
    <mergeCell ref="AF208:AF214"/>
    <mergeCell ref="AG208:AG214"/>
    <mergeCell ref="AH208:AH214"/>
    <mergeCell ref="AI208:AI214"/>
    <mergeCell ref="AY208:AY214"/>
    <mergeCell ref="AZ208:AZ214"/>
    <mergeCell ref="BA208:BA214"/>
    <mergeCell ref="A235:A241"/>
    <mergeCell ref="B235:B241"/>
    <mergeCell ref="C235:C241"/>
    <mergeCell ref="M235:M241"/>
    <mergeCell ref="N235:N241"/>
    <mergeCell ref="O235:O241"/>
    <mergeCell ref="P235:P241"/>
    <mergeCell ref="Q235:Q241"/>
    <mergeCell ref="R235:R241"/>
    <mergeCell ref="S235:S241"/>
    <mergeCell ref="T235:T241"/>
    <mergeCell ref="U235:U241"/>
    <mergeCell ref="V235:V241"/>
    <mergeCell ref="W235:W241"/>
    <mergeCell ref="X235:X241"/>
    <mergeCell ref="Y235:Y241"/>
    <mergeCell ref="Z235:Z241"/>
    <mergeCell ref="AY215:AY221"/>
    <mergeCell ref="AZ215:AZ221"/>
    <mergeCell ref="BA215:BA221"/>
    <mergeCell ref="A208:A214"/>
    <mergeCell ref="B208:B214"/>
    <mergeCell ref="C208:C214"/>
    <mergeCell ref="M208:M214"/>
    <mergeCell ref="N208:N214"/>
    <mergeCell ref="O208:O214"/>
    <mergeCell ref="P208:P214"/>
    <mergeCell ref="Q208:Q214"/>
    <mergeCell ref="R208:R214"/>
    <mergeCell ref="AM235:AM241"/>
    <mergeCell ref="AN235:AN241"/>
    <mergeCell ref="AO235:AO241"/>
    <mergeCell ref="AP235:AP241"/>
    <mergeCell ref="AQ235:AQ241"/>
    <mergeCell ref="AM208:AM214"/>
    <mergeCell ref="AN208:AN214"/>
    <mergeCell ref="AO208:AO214"/>
    <mergeCell ref="AP208:AP214"/>
    <mergeCell ref="AQ208:AQ214"/>
    <mergeCell ref="AR208:AR214"/>
    <mergeCell ref="AS208:AS214"/>
    <mergeCell ref="AT208:AT214"/>
    <mergeCell ref="AU208:AU214"/>
    <mergeCell ref="AV208:AV214"/>
    <mergeCell ref="AW208:AW214"/>
    <mergeCell ref="AX208:AX214"/>
    <mergeCell ref="AV215:AV221"/>
    <mergeCell ref="AW215:AW221"/>
    <mergeCell ref="AX215:AX221"/>
    <mergeCell ref="AR222:AR229"/>
    <mergeCell ref="AS222:AS229"/>
    <mergeCell ref="AT222:AT229"/>
    <mergeCell ref="AU222:AU229"/>
    <mergeCell ref="AV222:AV229"/>
    <mergeCell ref="AW222:AW229"/>
    <mergeCell ref="AX222:AX229"/>
    <mergeCell ref="AM230:AM234"/>
    <mergeCell ref="AN230:AN234"/>
    <mergeCell ref="AO230:AO234"/>
    <mergeCell ref="AP230:AP234"/>
    <mergeCell ref="AQ230:AQ234"/>
    <mergeCell ref="AB235:AB241"/>
    <mergeCell ref="AC235:AC241"/>
    <mergeCell ref="AD235:AD241"/>
    <mergeCell ref="AE235:AE241"/>
    <mergeCell ref="AF235:AF241"/>
    <mergeCell ref="AG235:AG241"/>
    <mergeCell ref="AH235:AH241"/>
    <mergeCell ref="AI235:AI241"/>
    <mergeCell ref="AJ235:AJ241"/>
    <mergeCell ref="AK235:AK241"/>
    <mergeCell ref="AL235:AL241"/>
    <mergeCell ref="AF230:AF234"/>
    <mergeCell ref="AG230:AG234"/>
    <mergeCell ref="AH230:AH234"/>
    <mergeCell ref="AI230:AI234"/>
    <mergeCell ref="AJ230:AJ234"/>
    <mergeCell ref="AK230:AK234"/>
    <mergeCell ref="AL230:AL234"/>
    <mergeCell ref="A230:A234"/>
    <mergeCell ref="B230:B234"/>
    <mergeCell ref="C230:C234"/>
    <mergeCell ref="M230:M234"/>
    <mergeCell ref="N230:N234"/>
    <mergeCell ref="O230:O234"/>
    <mergeCell ref="P230:P234"/>
    <mergeCell ref="Q230:Q234"/>
    <mergeCell ref="R230:R234"/>
    <mergeCell ref="S230:S234"/>
    <mergeCell ref="T230:T234"/>
    <mergeCell ref="U230:U234"/>
    <mergeCell ref="V230:V234"/>
    <mergeCell ref="W230:W234"/>
    <mergeCell ref="X230:X234"/>
    <mergeCell ref="Y230:Y234"/>
    <mergeCell ref="Z230:Z234"/>
    <mergeCell ref="AS230:AS234"/>
    <mergeCell ref="AT230:AT234"/>
    <mergeCell ref="AU230:AU234"/>
    <mergeCell ref="AV230:AV234"/>
    <mergeCell ref="AW230:AW234"/>
    <mergeCell ref="AX230:AX234"/>
    <mergeCell ref="AY230:AY234"/>
    <mergeCell ref="AZ230:AZ234"/>
    <mergeCell ref="BA230:BA234"/>
    <mergeCell ref="AR235:AR241"/>
    <mergeCell ref="AS235:AS241"/>
    <mergeCell ref="AT235:AT241"/>
    <mergeCell ref="AU235:AU241"/>
    <mergeCell ref="AV235:AV241"/>
    <mergeCell ref="AW235:AW241"/>
    <mergeCell ref="AX235:AX241"/>
    <mergeCell ref="AY235:AY241"/>
    <mergeCell ref="AZ235:AZ241"/>
    <mergeCell ref="BA235:BA241"/>
    <mergeCell ref="A242:A249"/>
    <mergeCell ref="B242:B249"/>
    <mergeCell ref="C242:C249"/>
    <mergeCell ref="M242:M249"/>
    <mergeCell ref="N242:N249"/>
    <mergeCell ref="O242:O249"/>
    <mergeCell ref="P242:P249"/>
    <mergeCell ref="Q242:Q249"/>
    <mergeCell ref="R242:R249"/>
    <mergeCell ref="S242:S249"/>
    <mergeCell ref="T242:T249"/>
    <mergeCell ref="U242:U249"/>
    <mergeCell ref="V242:V249"/>
    <mergeCell ref="W242:W249"/>
    <mergeCell ref="X242:X249"/>
    <mergeCell ref="Y242:Y249"/>
    <mergeCell ref="Z242:Z249"/>
    <mergeCell ref="C185:C186"/>
    <mergeCell ref="B185:B186"/>
    <mergeCell ref="A185:A186"/>
    <mergeCell ref="AE185:AE186"/>
    <mergeCell ref="AD185:AD186"/>
    <mergeCell ref="AC185:AC186"/>
    <mergeCell ref="AB185:AB186"/>
    <mergeCell ref="AA185:AA186"/>
    <mergeCell ref="Z185:Z186"/>
    <mergeCell ref="Y185:Y186"/>
    <mergeCell ref="X185:X186"/>
    <mergeCell ref="W185:W186"/>
    <mergeCell ref="V185:V186"/>
    <mergeCell ref="U185:U186"/>
    <mergeCell ref="T185:T186"/>
    <mergeCell ref="S185:S186"/>
    <mergeCell ref="R185:R186"/>
    <mergeCell ref="Q185:Q186"/>
    <mergeCell ref="P185:P186"/>
    <mergeCell ref="O185:O186"/>
    <mergeCell ref="N185:N186"/>
    <mergeCell ref="M185:M186"/>
    <mergeCell ref="AR185:AR186"/>
    <mergeCell ref="AQ185:AQ186"/>
    <mergeCell ref="AP185:AP186"/>
    <mergeCell ref="AO185:AO186"/>
    <mergeCell ref="AN185:AN186"/>
    <mergeCell ref="AM185:AM186"/>
    <mergeCell ref="AL185:AL186"/>
    <mergeCell ref="AK185:AK186"/>
    <mergeCell ref="AJ185:AJ186"/>
    <mergeCell ref="AI185:AI186"/>
    <mergeCell ref="AH185:AH186"/>
    <mergeCell ref="AG185:AG186"/>
    <mergeCell ref="AF185:AF186"/>
    <mergeCell ref="AA242:AA249"/>
    <mergeCell ref="AB242:AB249"/>
    <mergeCell ref="AC242:AC249"/>
    <mergeCell ref="AD242:AD249"/>
    <mergeCell ref="AE242:AE249"/>
    <mergeCell ref="AF242:AF249"/>
    <mergeCell ref="AM242:AM249"/>
    <mergeCell ref="AN242:AN249"/>
    <mergeCell ref="AO242:AO249"/>
    <mergeCell ref="AP242:AP249"/>
    <mergeCell ref="AQ242:AQ249"/>
    <mergeCell ref="AR242:AR249"/>
    <mergeCell ref="AR230:AR234"/>
    <mergeCell ref="AA230:AA234"/>
    <mergeCell ref="AB230:AB234"/>
    <mergeCell ref="AC230:AC234"/>
    <mergeCell ref="AD230:AD234"/>
    <mergeCell ref="AE230:AE234"/>
    <mergeCell ref="AA235:AA241"/>
  </mergeCells>
  <pageMargins left="0.51181102362204722" right="0.51181102362204722" top="0.74803149606299213" bottom="0.35433070866141736" header="0" footer="0"/>
  <pageSetup paperSize="9" scale="22" fitToHeight="0" orientation="landscape" r:id="rId1"/>
  <rowBreaks count="7" manualBreakCount="7">
    <brk id="41" max="52" man="1"/>
    <brk id="79" max="52" man="1"/>
    <brk id="114" max="52" man="1"/>
    <brk id="150" max="52" man="1"/>
    <brk id="184" max="52" man="1"/>
    <brk id="207" max="52" man="1"/>
    <brk id="214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3179-6BA1-47C8-A28F-267437AF4FB3}">
  <dimension ref="A1:C12"/>
  <sheetViews>
    <sheetView workbookViewId="0">
      <selection activeCell="B23" sqref="B23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254" t="s">
        <v>356</v>
      </c>
      <c r="B1" s="255"/>
      <c r="C1" s="256"/>
    </row>
    <row r="2" spans="1:3" ht="15" customHeight="1" x14ac:dyDescent="0.25">
      <c r="A2" s="257"/>
      <c r="B2" s="258" t="s">
        <v>357</v>
      </c>
      <c r="C2" s="259"/>
    </row>
    <row r="3" spans="1:3" ht="15" customHeight="1" x14ac:dyDescent="0.25">
      <c r="A3" s="257"/>
      <c r="B3" s="258" t="s">
        <v>358</v>
      </c>
      <c r="C3" s="259"/>
    </row>
    <row r="4" spans="1:3" ht="15" customHeight="1" x14ac:dyDescent="0.25">
      <c r="A4" s="260" t="s">
        <v>359</v>
      </c>
      <c r="B4" s="261"/>
      <c r="C4" s="262"/>
    </row>
    <row r="5" spans="1:3" ht="15" customHeight="1" x14ac:dyDescent="0.25">
      <c r="A5" s="252" t="s">
        <v>360</v>
      </c>
      <c r="B5" s="253"/>
      <c r="C5" s="124" t="s">
        <v>361</v>
      </c>
    </row>
    <row r="6" spans="1:3" ht="105" x14ac:dyDescent="0.25">
      <c r="A6" s="263" t="s">
        <v>362</v>
      </c>
      <c r="B6" s="264"/>
      <c r="C6" s="124" t="s">
        <v>363</v>
      </c>
    </row>
    <row r="7" spans="1:3" ht="60" x14ac:dyDescent="0.25">
      <c r="A7" s="263" t="s">
        <v>364</v>
      </c>
      <c r="B7" s="264"/>
      <c r="C7" s="124" t="s">
        <v>365</v>
      </c>
    </row>
    <row r="8" spans="1:3" ht="15" customHeight="1" x14ac:dyDescent="0.25">
      <c r="A8" s="252" t="s">
        <v>366</v>
      </c>
      <c r="B8" s="253"/>
      <c r="C8" s="124" t="s">
        <v>367</v>
      </c>
    </row>
    <row r="9" spans="1:3" ht="15" customHeight="1" x14ac:dyDescent="0.25">
      <c r="A9" s="252" t="s">
        <v>368</v>
      </c>
      <c r="B9" s="253"/>
      <c r="C9" s="124" t="s">
        <v>369</v>
      </c>
    </row>
    <row r="10" spans="1:3" ht="15" customHeight="1" x14ac:dyDescent="0.25">
      <c r="A10" s="252" t="s">
        <v>370</v>
      </c>
      <c r="B10" s="253"/>
      <c r="C10" s="124" t="s">
        <v>371</v>
      </c>
    </row>
    <row r="11" spans="1:3" ht="15" customHeight="1" x14ac:dyDescent="0.25">
      <c r="A11" s="252" t="s">
        <v>372</v>
      </c>
      <c r="B11" s="253"/>
      <c r="C11" s="124" t="s">
        <v>373</v>
      </c>
    </row>
    <row r="12" spans="1:3" ht="15.75" thickBot="1" x14ac:dyDescent="0.3">
      <c r="A12" s="125"/>
      <c r="B12" s="126"/>
      <c r="C12" s="127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5601-E5FF-490E-AD7C-F2DF7BFB9EDE}">
  <dimension ref="A1:C12"/>
  <sheetViews>
    <sheetView workbookViewId="0">
      <selection sqref="A1:XFD1048576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254" t="s">
        <v>356</v>
      </c>
      <c r="B1" s="255"/>
      <c r="C1" s="256"/>
    </row>
    <row r="2" spans="1:3" ht="15" customHeight="1" x14ac:dyDescent="0.25">
      <c r="A2" s="257"/>
      <c r="B2" s="258" t="s">
        <v>357</v>
      </c>
      <c r="C2" s="259"/>
    </row>
    <row r="3" spans="1:3" ht="15" customHeight="1" x14ac:dyDescent="0.25">
      <c r="A3" s="257"/>
      <c r="B3" s="258" t="s">
        <v>358</v>
      </c>
      <c r="C3" s="259"/>
    </row>
    <row r="4" spans="1:3" ht="15" customHeight="1" x14ac:dyDescent="0.25">
      <c r="A4" s="260" t="s">
        <v>359</v>
      </c>
      <c r="B4" s="261"/>
      <c r="C4" s="262"/>
    </row>
    <row r="5" spans="1:3" ht="15" customHeight="1" x14ac:dyDescent="0.25">
      <c r="A5" s="252" t="s">
        <v>360</v>
      </c>
      <c r="B5" s="253"/>
      <c r="C5" s="128" t="s">
        <v>361</v>
      </c>
    </row>
    <row r="6" spans="1:3" ht="105" x14ac:dyDescent="0.25">
      <c r="A6" s="263" t="s">
        <v>362</v>
      </c>
      <c r="B6" s="264"/>
      <c r="C6" s="128" t="s">
        <v>363</v>
      </c>
    </row>
    <row r="7" spans="1:3" ht="60" x14ac:dyDescent="0.25">
      <c r="A7" s="263" t="s">
        <v>364</v>
      </c>
      <c r="B7" s="264"/>
      <c r="C7" s="128" t="s">
        <v>365</v>
      </c>
    </row>
    <row r="8" spans="1:3" ht="15" customHeight="1" x14ac:dyDescent="0.25">
      <c r="A8" s="252" t="s">
        <v>366</v>
      </c>
      <c r="B8" s="253"/>
      <c r="C8" s="128" t="s">
        <v>367</v>
      </c>
    </row>
    <row r="9" spans="1:3" ht="15" customHeight="1" x14ac:dyDescent="0.25">
      <c r="A9" s="252" t="s">
        <v>368</v>
      </c>
      <c r="B9" s="253"/>
      <c r="C9" s="128" t="s">
        <v>369</v>
      </c>
    </row>
    <row r="10" spans="1:3" ht="15" customHeight="1" x14ac:dyDescent="0.25">
      <c r="A10" s="252" t="s">
        <v>370</v>
      </c>
      <c r="B10" s="253"/>
      <c r="C10" s="128" t="s">
        <v>371</v>
      </c>
    </row>
    <row r="11" spans="1:3" ht="15" customHeight="1" x14ac:dyDescent="0.25">
      <c r="A11" s="252" t="s">
        <v>372</v>
      </c>
      <c r="B11" s="253"/>
      <c r="C11" s="128" t="s">
        <v>374</v>
      </c>
    </row>
    <row r="12" spans="1:3" ht="15.75" thickBot="1" x14ac:dyDescent="0.3">
      <c r="A12" s="125"/>
      <c r="B12" s="126"/>
      <c r="C12" s="127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B281-1026-4C18-950B-97CAC2C18855}">
  <dimension ref="A1:C12"/>
  <sheetViews>
    <sheetView tabSelected="1" workbookViewId="0">
      <selection activeCell="C21" sqref="C21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254" t="s">
        <v>356</v>
      </c>
      <c r="B1" s="255"/>
      <c r="C1" s="256"/>
    </row>
    <row r="2" spans="1:3" ht="15" customHeight="1" x14ac:dyDescent="0.25">
      <c r="A2" s="257"/>
      <c r="B2" s="258" t="s">
        <v>357</v>
      </c>
      <c r="C2" s="259"/>
    </row>
    <row r="3" spans="1:3" ht="15" customHeight="1" x14ac:dyDescent="0.25">
      <c r="A3" s="257"/>
      <c r="B3" s="258" t="s">
        <v>358</v>
      </c>
      <c r="C3" s="259"/>
    </row>
    <row r="4" spans="1:3" ht="15" customHeight="1" x14ac:dyDescent="0.25">
      <c r="A4" s="260" t="s">
        <v>359</v>
      </c>
      <c r="B4" s="261"/>
      <c r="C4" s="262"/>
    </row>
    <row r="5" spans="1:3" ht="15" customHeight="1" x14ac:dyDescent="0.25">
      <c r="A5" s="252" t="s">
        <v>360</v>
      </c>
      <c r="B5" s="253"/>
      <c r="C5" s="129" t="s">
        <v>361</v>
      </c>
    </row>
    <row r="6" spans="1:3" ht="105" x14ac:dyDescent="0.25">
      <c r="A6" s="263" t="s">
        <v>362</v>
      </c>
      <c r="B6" s="264"/>
      <c r="C6" s="129" t="s">
        <v>363</v>
      </c>
    </row>
    <row r="7" spans="1:3" ht="60" x14ac:dyDescent="0.25">
      <c r="A7" s="263" t="s">
        <v>364</v>
      </c>
      <c r="B7" s="264"/>
      <c r="C7" s="129" t="s">
        <v>365</v>
      </c>
    </row>
    <row r="8" spans="1:3" ht="15" customHeight="1" x14ac:dyDescent="0.25">
      <c r="A8" s="252" t="s">
        <v>366</v>
      </c>
      <c r="B8" s="253"/>
      <c r="C8" s="129" t="s">
        <v>367</v>
      </c>
    </row>
    <row r="9" spans="1:3" ht="15" customHeight="1" x14ac:dyDescent="0.25">
      <c r="A9" s="252" t="s">
        <v>368</v>
      </c>
      <c r="B9" s="253"/>
      <c r="C9" s="129" t="s">
        <v>369</v>
      </c>
    </row>
    <row r="10" spans="1:3" ht="15" customHeight="1" x14ac:dyDescent="0.25">
      <c r="A10" s="252" t="s">
        <v>370</v>
      </c>
      <c r="B10" s="253"/>
      <c r="C10" s="129" t="s">
        <v>371</v>
      </c>
    </row>
    <row r="11" spans="1:3" ht="15" customHeight="1" x14ac:dyDescent="0.25">
      <c r="A11" s="252" t="s">
        <v>372</v>
      </c>
      <c r="B11" s="253"/>
      <c r="C11" s="129" t="s">
        <v>375</v>
      </c>
    </row>
    <row r="12" spans="1:3" ht="15.75" thickBot="1" x14ac:dyDescent="0.3">
      <c r="A12" s="125"/>
      <c r="B12" s="126"/>
      <c r="C12" s="127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ВЛ </vt:lpstr>
      <vt:lpstr>КЛ</vt:lpstr>
      <vt:lpstr>ПС</vt:lpstr>
      <vt:lpstr>Информация о подписи</vt:lpstr>
      <vt:lpstr>Лист1</vt:lpstr>
      <vt:lpstr>Лист2</vt:lpstr>
      <vt:lpstr>'ВЛ '!Область_печати</vt:lpstr>
      <vt:lpstr>ПС!Область_печати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2023-06-29T06:13:29Z</dcterms:modified>
</cp:coreProperties>
</file>